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local_Philip.Keeble\INetCache\Content.Outlook\EAEDATXJ\"/>
    </mc:Choice>
  </mc:AlternateContent>
  <xr:revisionPtr revIDLastSave="0" documentId="13_ncr:1_{B9AD79B1-A772-45D6-BD84-774529E4F94D}" xr6:coauthVersionLast="47" xr6:coauthVersionMax="47" xr10:uidLastSave="{00000000-0000-0000-0000-000000000000}"/>
  <bookViews>
    <workbookView xWindow="-110" yWindow="-110" windowWidth="19420" windowHeight="10420" tabRatio="944" xr2:uid="{00000000-000D-0000-FFFF-FFFF00000000}"/>
  </bookViews>
  <sheets>
    <sheet name="Summary" sheetId="1" r:id="rId1"/>
    <sheet name="Xledger Data" sheetId="27" state="hidden" r:id="rId2"/>
    <sheet name="Overview" sheetId="25" state="hidden" r:id="rId3"/>
    <sheet name="Historic Monthly Totals" sheetId="26" state="hidden" r:id="rId4"/>
    <sheet name="Data" sheetId="30" state="hidden" r:id="rId5"/>
    <sheet name="Waivers 2021" sheetId="33" state="hidden" r:id="rId6"/>
    <sheet name="Clare" sheetId="7" r:id="rId7"/>
    <sheet name="Gipping Valley" sheetId="32" r:id="rId8"/>
    <sheet name="Hadleigh" sheetId="8" r:id="rId9"/>
    <sheet name="Ixworth" sheetId="9" r:id="rId10"/>
    <sheet name="Lavenham" sheetId="10" r:id="rId11"/>
    <sheet name="Mildenhall" sheetId="11" r:id="rId12"/>
    <sheet name="Sudbury" sheetId="13" r:id="rId13"/>
    <sheet name="Thingoe" sheetId="14" r:id="rId14"/>
    <sheet name="Ipswich" sheetId="18" r:id="rId15"/>
    <sheet name="Colneys" sheetId="15" r:id="rId16"/>
    <sheet name="Hartismere &amp; Hoxne" sheetId="16" r:id="rId17"/>
    <sheet name="Loes" sheetId="19" r:id="rId18"/>
    <sheet name="Samford" sheetId="20" r:id="rId19"/>
    <sheet name="Saxmundham" sheetId="21" r:id="rId20"/>
    <sheet name="Waveney &amp; Blyth" sheetId="22" r:id="rId21"/>
    <sheet name="Woodbridge" sheetId="2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Month1" localSheetId="7">[1]Summary!$M$3</definedName>
    <definedName name="Month1">Summary!$L$3</definedName>
    <definedName name="Month2" localSheetId="7">[1]Summary!$M$4</definedName>
    <definedName name="Month2">Summary!$L$4</definedName>
    <definedName name="Month3" localSheetId="7">[1]Summary!$M$5</definedName>
    <definedName name="Month3">Summary!$L$5</definedName>
    <definedName name="PayingEntity" localSheetId="6">Clare!$G$13:$G$20,Clare!$G$11,Clare!$G$24:$G$30,Clare!$G$34:$G$39,Clare!$G$42:$G$46</definedName>
    <definedName name="Period" localSheetId="7">[1]Summary!$C$3</definedName>
    <definedName name="Period">Summary!$C$3</definedName>
    <definedName name="PeriodNo">Summary!$I$2</definedName>
    <definedName name="_xlnm.Print_Area" localSheetId="6">Clare!$C$2:$G$54</definedName>
    <definedName name="_xlnm.Print_Area" localSheetId="15">Colneys!$C$2:$G$40</definedName>
    <definedName name="_xlnm.Print_Area" localSheetId="7">'Gipping Valley'!$C$2:$G$81</definedName>
    <definedName name="_xlnm.Print_Area" localSheetId="8">Hadleigh!$C$2:$G$48</definedName>
    <definedName name="_xlnm.Print_Area" localSheetId="16">'Hartismere &amp; Hoxne'!$C$2:$G$66</definedName>
    <definedName name="_xlnm.Print_Area" localSheetId="14">Ipswich!$C$2:$G$58</definedName>
    <definedName name="_xlnm.Print_Area" localSheetId="9">Ixworth!$C$2:$G$50</definedName>
    <definedName name="_xlnm.Print_Area" localSheetId="10">Lavenham!$C$2:$G$59</definedName>
    <definedName name="_xlnm.Print_Area" localSheetId="17">Loes!$C$2:$G$59</definedName>
    <definedName name="_xlnm.Print_Area" localSheetId="11">Mildenhall!$C$2:$G$55</definedName>
    <definedName name="_xlnm.Print_Area" localSheetId="2">Overview!$A$1:$N$25</definedName>
    <definedName name="_xlnm.Print_Area" localSheetId="18">Samford!$C$2:$G$39</definedName>
    <definedName name="_xlnm.Print_Area" localSheetId="19">Saxmundham!$C$2:$G$45</definedName>
    <definedName name="_xlnm.Print_Area" localSheetId="12">Sudbury!$C$2:$G$52</definedName>
    <definedName name="_xlnm.Print_Area" localSheetId="0">Summary!$A$1:$K$45</definedName>
    <definedName name="_xlnm.Print_Area" localSheetId="13">Thingoe!$C$2:$G$58</definedName>
    <definedName name="_xlnm.Print_Area" localSheetId="20">'Waveney &amp; Blyth'!$C$2:$G$82</definedName>
    <definedName name="_xlnm.Print_Area" localSheetId="21">Woodbridge!$C$2:$G$56</definedName>
    <definedName name="_xlnm.Print_Titles" localSheetId="20">'Waveney &amp; Blyth'!$2:$6</definedName>
    <definedName name="Target" localSheetId="7">[1]Summary!$M$2</definedName>
    <definedName name="Target">Summary!$L$2</definedName>
    <definedName name="Xledger" localSheetId="7">'[1]Xledger Data'!$A$2:$C$358</definedName>
    <definedName name="Xledger">'Xledger Data'!$A$2:$C$441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8" l="1"/>
  <c r="E56" i="23" l="1"/>
  <c r="E82" i="22"/>
  <c r="E45" i="21"/>
  <c r="E39" i="20"/>
  <c r="E59" i="19"/>
  <c r="E66" i="16"/>
  <c r="E40" i="15"/>
  <c r="E58" i="18"/>
  <c r="E58" i="14"/>
  <c r="E52" i="13"/>
  <c r="E55" i="11"/>
  <c r="E59" i="10"/>
  <c r="E50" i="9"/>
  <c r="E48" i="8"/>
  <c r="E81" i="32"/>
  <c r="E54" i="7"/>
  <c r="D19" i="8"/>
  <c r="D18" i="8"/>
  <c r="E41" i="1"/>
  <c r="E39" i="1"/>
  <c r="D41" i="1"/>
  <c r="D39" i="1"/>
  <c r="D37" i="1"/>
  <c r="E37" i="1"/>
  <c r="E17" i="15"/>
  <c r="E14" i="15"/>
  <c r="E13" i="15"/>
  <c r="E12" i="15"/>
  <c r="E10" i="15"/>
  <c r="E8" i="15"/>
  <c r="E18" i="15"/>
  <c r="E70" i="32"/>
  <c r="E50" i="23"/>
  <c r="E47" i="23"/>
  <c r="E46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3" i="23"/>
  <c r="E24" i="23"/>
  <c r="E14" i="23"/>
  <c r="E15" i="23"/>
  <c r="E16" i="23"/>
  <c r="E17" i="23"/>
  <c r="E18" i="23"/>
  <c r="E19" i="23"/>
  <c r="E20" i="23"/>
  <c r="E21" i="23"/>
  <c r="E13" i="23"/>
  <c r="E9" i="23"/>
  <c r="E8" i="23"/>
  <c r="E74" i="22"/>
  <c r="E75" i="22"/>
  <c r="E73" i="22"/>
  <c r="E68" i="22"/>
  <c r="E69" i="22"/>
  <c r="E70" i="22"/>
  <c r="E67" i="22"/>
  <c r="E64" i="22"/>
  <c r="E63" i="22"/>
  <c r="E62" i="22"/>
  <c r="E61" i="22"/>
  <c r="E60" i="22"/>
  <c r="E59" i="22"/>
  <c r="E58" i="22"/>
  <c r="E57" i="22"/>
  <c r="E54" i="22"/>
  <c r="E53" i="22"/>
  <c r="E52" i="22"/>
  <c r="E51" i="22"/>
  <c r="E50" i="22"/>
  <c r="E49" i="22"/>
  <c r="E48" i="22"/>
  <c r="E47" i="22"/>
  <c r="E46" i="22"/>
  <c r="E45" i="22"/>
  <c r="E44" i="22"/>
  <c r="E33" i="22"/>
  <c r="E34" i="22"/>
  <c r="E35" i="22"/>
  <c r="E36" i="22"/>
  <c r="E37" i="22"/>
  <c r="E38" i="22"/>
  <c r="E39" i="22"/>
  <c r="E40" i="22"/>
  <c r="E41" i="22"/>
  <c r="E32" i="22"/>
  <c r="E28" i="22"/>
  <c r="E29" i="22"/>
  <c r="E27" i="22"/>
  <c r="E22" i="22"/>
  <c r="E23" i="22"/>
  <c r="E24" i="22"/>
  <c r="E21" i="22"/>
  <c r="E9" i="22"/>
  <c r="E10" i="22"/>
  <c r="E11" i="22"/>
  <c r="E12" i="22"/>
  <c r="E13" i="22"/>
  <c r="E14" i="22"/>
  <c r="E15" i="22"/>
  <c r="E16" i="22"/>
  <c r="E17" i="22"/>
  <c r="E18" i="22"/>
  <c r="E8" i="22"/>
  <c r="E33" i="21"/>
  <c r="E34" i="21"/>
  <c r="E35" i="21"/>
  <c r="E36" i="21"/>
  <c r="E37" i="21"/>
  <c r="E38" i="21"/>
  <c r="E32" i="21"/>
  <c r="E29" i="21"/>
  <c r="E28" i="21"/>
  <c r="E24" i="21"/>
  <c r="E19" i="21"/>
  <c r="E20" i="21"/>
  <c r="E21" i="21"/>
  <c r="E18" i="21"/>
  <c r="E9" i="21"/>
  <c r="E10" i="21"/>
  <c r="E11" i="21"/>
  <c r="E12" i="21"/>
  <c r="E13" i="21"/>
  <c r="E14" i="21"/>
  <c r="E15" i="21"/>
  <c r="E8" i="21"/>
  <c r="H37" i="1" l="1"/>
  <c r="G37" i="1"/>
  <c r="F37" i="1"/>
  <c r="H39" i="1"/>
  <c r="G39" i="1"/>
  <c r="F39" i="1"/>
  <c r="H41" i="1"/>
  <c r="G41" i="1"/>
  <c r="F41" i="1"/>
  <c r="E34" i="20"/>
  <c r="E33" i="20"/>
  <c r="E32" i="20"/>
  <c r="E31" i="20"/>
  <c r="E30" i="20"/>
  <c r="E27" i="20"/>
  <c r="E26" i="20"/>
  <c r="E25" i="20"/>
  <c r="E24" i="20"/>
  <c r="E17" i="20"/>
  <c r="E18" i="20"/>
  <c r="E19" i="20"/>
  <c r="E20" i="20"/>
  <c r="E21" i="20"/>
  <c r="E16" i="20"/>
  <c r="E13" i="20"/>
  <c r="E12" i="20"/>
  <c r="E9" i="20"/>
  <c r="E8" i="20"/>
  <c r="E52" i="19" l="1"/>
  <c r="E51" i="19"/>
  <c r="E48" i="19"/>
  <c r="E47" i="19"/>
  <c r="E46" i="19"/>
  <c r="E45" i="19"/>
  <c r="E44" i="19"/>
  <c r="E43" i="19"/>
  <c r="E33" i="19"/>
  <c r="E34" i="19"/>
  <c r="E35" i="19"/>
  <c r="E36" i="19"/>
  <c r="E37" i="19"/>
  <c r="E38" i="19"/>
  <c r="E39" i="19"/>
  <c r="E32" i="19"/>
  <c r="E24" i="19"/>
  <c r="E25" i="19"/>
  <c r="E26" i="19"/>
  <c r="E27" i="19"/>
  <c r="E28" i="19"/>
  <c r="E29" i="19"/>
  <c r="E23" i="19"/>
  <c r="E13" i="19"/>
  <c r="E14" i="19"/>
  <c r="E15" i="19"/>
  <c r="E16" i="19"/>
  <c r="E17" i="19"/>
  <c r="E18" i="19"/>
  <c r="E19" i="19"/>
  <c r="E20" i="19"/>
  <c r="E12" i="19"/>
  <c r="E9" i="19"/>
  <c r="E8" i="19"/>
  <c r="E56" i="16"/>
  <c r="E57" i="16"/>
  <c r="E58" i="16"/>
  <c r="E59" i="16"/>
  <c r="E60" i="16"/>
  <c r="E55" i="16"/>
  <c r="E45" i="16"/>
  <c r="E46" i="16"/>
  <c r="E47" i="16"/>
  <c r="E48" i="16"/>
  <c r="E49" i="16"/>
  <c r="E50" i="16"/>
  <c r="E51" i="16"/>
  <c r="E44" i="16"/>
  <c r="E35" i="16"/>
  <c r="E36" i="16"/>
  <c r="E37" i="16"/>
  <c r="E38" i="16"/>
  <c r="E39" i="16"/>
  <c r="E40" i="16"/>
  <c r="E34" i="16"/>
  <c r="E24" i="16"/>
  <c r="E25" i="16"/>
  <c r="E26" i="16"/>
  <c r="E27" i="16"/>
  <c r="E28" i="16"/>
  <c r="E29" i="16"/>
  <c r="E30" i="16"/>
  <c r="E23" i="16"/>
  <c r="E21" i="16"/>
  <c r="E16" i="16"/>
  <c r="E17" i="16"/>
  <c r="E18" i="16"/>
  <c r="E15" i="16"/>
  <c r="E14" i="16"/>
  <c r="E13" i="16"/>
  <c r="E9" i="16"/>
  <c r="E10" i="16"/>
  <c r="E8" i="16"/>
  <c r="E28" i="15"/>
  <c r="E29" i="15"/>
  <c r="E30" i="15"/>
  <c r="E31" i="15"/>
  <c r="E32" i="15"/>
  <c r="E33" i="15"/>
  <c r="E34" i="15"/>
  <c r="E27" i="15"/>
  <c r="E24" i="15"/>
  <c r="E23" i="15"/>
  <c r="E21" i="15"/>
  <c r="E48" i="18"/>
  <c r="E45" i="18"/>
  <c r="E43" i="18"/>
  <c r="E41" i="18"/>
  <c r="E39" i="18"/>
  <c r="E37" i="18"/>
  <c r="E33" i="18"/>
  <c r="E28" i="18"/>
  <c r="E29" i="18"/>
  <c r="E27" i="18"/>
  <c r="E25" i="18"/>
  <c r="E23" i="18"/>
  <c r="E21" i="18"/>
  <c r="E17" i="18"/>
  <c r="E18" i="18"/>
  <c r="E16" i="18"/>
  <c r="E14" i="18"/>
  <c r="E12" i="18"/>
  <c r="E10" i="18"/>
  <c r="E8" i="18"/>
  <c r="E48" i="14"/>
  <c r="E33" i="14"/>
  <c r="E32" i="14"/>
  <c r="E31" i="14"/>
  <c r="E25" i="14"/>
  <c r="E26" i="14"/>
  <c r="E27" i="14"/>
  <c r="E28" i="14"/>
  <c r="E24" i="14"/>
  <c r="E20" i="14"/>
  <c r="E21" i="14"/>
  <c r="E19" i="14"/>
  <c r="F19" i="14" s="1"/>
  <c r="E18" i="14"/>
  <c r="F18" i="14" s="1"/>
  <c r="E17" i="14"/>
  <c r="E16" i="14"/>
  <c r="E13" i="14"/>
  <c r="E12" i="14"/>
  <c r="E10" i="14"/>
  <c r="E8" i="14"/>
  <c r="E44" i="13"/>
  <c r="E43" i="13"/>
  <c r="E41" i="13"/>
  <c r="E37" i="13"/>
  <c r="E33" i="13"/>
  <c r="E29" i="13"/>
  <c r="E27" i="13"/>
  <c r="E28" i="13"/>
  <c r="E26" i="13"/>
  <c r="E22" i="13"/>
  <c r="E23" i="13"/>
  <c r="E21" i="13"/>
  <c r="E14" i="13"/>
  <c r="E15" i="13"/>
  <c r="E16" i="13"/>
  <c r="E17" i="13"/>
  <c r="E13" i="13"/>
  <c r="E9" i="13"/>
  <c r="E8" i="13"/>
  <c r="E45" i="11"/>
  <c r="E44" i="11"/>
  <c r="E43" i="11"/>
  <c r="E41" i="11"/>
  <c r="E35" i="11"/>
  <c r="E36" i="11"/>
  <c r="E37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22" i="11"/>
  <c r="E13" i="11"/>
  <c r="E14" i="11"/>
  <c r="E12" i="11"/>
  <c r="E8" i="11"/>
  <c r="E50" i="10"/>
  <c r="E49" i="10"/>
  <c r="E44" i="10"/>
  <c r="E39" i="10"/>
  <c r="E40" i="10"/>
  <c r="E41" i="10"/>
  <c r="E42" i="10"/>
  <c r="E43" i="10"/>
  <c r="E45" i="10"/>
  <c r="E38" i="10"/>
  <c r="E35" i="10"/>
  <c r="E34" i="10"/>
  <c r="E29" i="10"/>
  <c r="E30" i="10"/>
  <c r="E31" i="10"/>
  <c r="E28" i="10"/>
  <c r="E22" i="10"/>
  <c r="E23" i="10"/>
  <c r="E24" i="10"/>
  <c r="E25" i="10"/>
  <c r="E21" i="10"/>
  <c r="E18" i="10"/>
  <c r="E17" i="10"/>
  <c r="E15" i="10"/>
  <c r="E9" i="10"/>
  <c r="E10" i="10"/>
  <c r="E11" i="10"/>
  <c r="E12" i="10"/>
  <c r="E8" i="10"/>
  <c r="E38" i="9"/>
  <c r="E39" i="9"/>
  <c r="E40" i="9"/>
  <c r="E41" i="9"/>
  <c r="E42" i="9"/>
  <c r="E43" i="9"/>
  <c r="E44" i="9"/>
  <c r="E37" i="9"/>
  <c r="E29" i="9"/>
  <c r="E30" i="9"/>
  <c r="E31" i="9"/>
  <c r="E32" i="9"/>
  <c r="E33" i="9"/>
  <c r="E28" i="9"/>
  <c r="E18" i="9"/>
  <c r="E19" i="9"/>
  <c r="E20" i="9"/>
  <c r="E21" i="9"/>
  <c r="E22" i="9"/>
  <c r="E23" i="9"/>
  <c r="E24" i="9"/>
  <c r="E17" i="9"/>
  <c r="E14" i="9"/>
  <c r="E9" i="9"/>
  <c r="E10" i="9"/>
  <c r="E11" i="9"/>
  <c r="E12" i="9"/>
  <c r="E13" i="9"/>
  <c r="E8" i="9"/>
  <c r="E36" i="8"/>
  <c r="E37" i="8"/>
  <c r="E38" i="8"/>
  <c r="E39" i="8"/>
  <c r="E35" i="8"/>
  <c r="E30" i="8"/>
  <c r="E31" i="8"/>
  <c r="E32" i="8"/>
  <c r="E29" i="8"/>
  <c r="E24" i="8"/>
  <c r="E25" i="8"/>
  <c r="E23" i="8"/>
  <c r="E17" i="8"/>
  <c r="E18" i="8"/>
  <c r="E19" i="8"/>
  <c r="E16" i="8"/>
  <c r="E9" i="8"/>
  <c r="E10" i="8"/>
  <c r="E11" i="8"/>
  <c r="E12" i="8"/>
  <c r="E13" i="8"/>
  <c r="E8" i="8"/>
  <c r="E66" i="32"/>
  <c r="E62" i="32"/>
  <c r="E63" i="32"/>
  <c r="E61" i="32"/>
  <c r="E53" i="32"/>
  <c r="E54" i="32"/>
  <c r="E55" i="32"/>
  <c r="E56" i="32"/>
  <c r="E57" i="32"/>
  <c r="E58" i="32"/>
  <c r="E52" i="32"/>
  <c r="E45" i="32"/>
  <c r="E46" i="32"/>
  <c r="E47" i="32"/>
  <c r="E48" i="32"/>
  <c r="E49" i="32"/>
  <c r="E44" i="32"/>
  <c r="E34" i="32"/>
  <c r="E35" i="32"/>
  <c r="E36" i="32"/>
  <c r="E37" i="32"/>
  <c r="E38" i="32"/>
  <c r="E39" i="32"/>
  <c r="E40" i="32"/>
  <c r="E41" i="32"/>
  <c r="E33" i="32"/>
  <c r="E31" i="32"/>
  <c r="E27" i="32"/>
  <c r="E26" i="32"/>
  <c r="E25" i="32"/>
  <c r="E24" i="32"/>
  <c r="E23" i="32"/>
  <c r="E22" i="32"/>
  <c r="E21" i="32"/>
  <c r="E20" i="32"/>
  <c r="E16" i="32"/>
  <c r="E17" i="32"/>
  <c r="E15" i="32"/>
  <c r="E11" i="32"/>
  <c r="E10" i="32"/>
  <c r="E9" i="32"/>
  <c r="E8" i="32"/>
  <c r="E43" i="7" l="1"/>
  <c r="E44" i="7"/>
  <c r="E45" i="7"/>
  <c r="E46" i="7"/>
  <c r="E42" i="7"/>
  <c r="E35" i="7"/>
  <c r="E36" i="7"/>
  <c r="E37" i="7"/>
  <c r="E38" i="7"/>
  <c r="E39" i="7"/>
  <c r="E34" i="7"/>
  <c r="E25" i="7"/>
  <c r="E26" i="7"/>
  <c r="E27" i="7"/>
  <c r="E28" i="7"/>
  <c r="E29" i="7"/>
  <c r="E30" i="7"/>
  <c r="E24" i="7"/>
  <c r="E14" i="7"/>
  <c r="E15" i="7"/>
  <c r="E16" i="7"/>
  <c r="E17" i="7"/>
  <c r="E18" i="7"/>
  <c r="E19" i="7"/>
  <c r="E20" i="7"/>
  <c r="E13" i="7"/>
  <c r="E9" i="7"/>
  <c r="E8" i="7"/>
  <c r="D15" i="16"/>
  <c r="D48" i="14"/>
  <c r="D32" i="14"/>
  <c r="D31" i="14"/>
  <c r="D28" i="14"/>
  <c r="D27" i="14"/>
  <c r="D26" i="14"/>
  <c r="D25" i="14"/>
  <c r="D24" i="14"/>
  <c r="D29" i="14" s="1"/>
  <c r="D58" i="16" l="1"/>
  <c r="G58" i="16" s="1"/>
  <c r="E51" i="23" l="1"/>
  <c r="E40" i="19"/>
  <c r="G15" i="16"/>
  <c r="G48" i="14"/>
  <c r="G32" i="14"/>
  <c r="G31" i="14"/>
  <c r="G28" i="14"/>
  <c r="G27" i="14"/>
  <c r="G26" i="14"/>
  <c r="G25" i="14"/>
  <c r="G24" i="14"/>
  <c r="E18" i="11"/>
  <c r="E21" i="7" l="1"/>
  <c r="F45" i="10" l="1"/>
  <c r="F44" i="10" l="1"/>
  <c r="F48" i="14"/>
  <c r="D61" i="16"/>
  <c r="D60" i="16"/>
  <c r="G60" i="16" s="1"/>
  <c r="D59" i="16"/>
  <c r="G59" i="16" s="1"/>
  <c r="D57" i="16"/>
  <c r="G57" i="16" s="1"/>
  <c r="D56" i="16"/>
  <c r="G56" i="16" s="1"/>
  <c r="D55" i="16"/>
  <c r="D51" i="16"/>
  <c r="D50" i="16"/>
  <c r="D48" i="16"/>
  <c r="D47" i="16"/>
  <c r="D46" i="16"/>
  <c r="D45" i="16"/>
  <c r="D44" i="16"/>
  <c r="D37" i="16"/>
  <c r="D40" i="16"/>
  <c r="D39" i="16"/>
  <c r="D38" i="16"/>
  <c r="D36" i="16"/>
  <c r="D35" i="16"/>
  <c r="D34" i="16"/>
  <c r="D30" i="16"/>
  <c r="D29" i="16"/>
  <c r="D28" i="16"/>
  <c r="D27" i="16"/>
  <c r="D26" i="16"/>
  <c r="D25" i="16"/>
  <c r="D23" i="16"/>
  <c r="D21" i="16"/>
  <c r="D18" i="16"/>
  <c r="G18" i="16" s="1"/>
  <c r="D17" i="16"/>
  <c r="G17" i="16" s="1"/>
  <c r="D16" i="16"/>
  <c r="G16" i="16" s="1"/>
  <c r="D14" i="16"/>
  <c r="G14" i="16" s="1"/>
  <c r="D13" i="16"/>
  <c r="D10" i="16"/>
  <c r="D9" i="16"/>
  <c r="D8" i="16"/>
  <c r="D34" i="15"/>
  <c r="D33" i="15"/>
  <c r="D32" i="15"/>
  <c r="D31" i="15"/>
  <c r="D30" i="15"/>
  <c r="D29" i="15"/>
  <c r="D28" i="15"/>
  <c r="D27" i="15"/>
  <c r="D24" i="15"/>
  <c r="D23" i="15"/>
  <c r="D21" i="15"/>
  <c r="D18" i="15"/>
  <c r="D17" i="15"/>
  <c r="D14" i="15"/>
  <c r="D13" i="15"/>
  <c r="D12" i="15"/>
  <c r="D10" i="15"/>
  <c r="D8" i="15"/>
  <c r="D51" i="23"/>
  <c r="D50" i="23"/>
  <c r="D47" i="23"/>
  <c r="D46" i="23"/>
  <c r="E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44" i="23" s="1"/>
  <c r="D9" i="23"/>
  <c r="D8" i="23"/>
  <c r="G8" i="23" s="1"/>
  <c r="D24" i="22"/>
  <c r="D23" i="22"/>
  <c r="D22" i="22"/>
  <c r="D21" i="22"/>
  <c r="D78" i="22"/>
  <c r="E19" i="22"/>
  <c r="D75" i="22"/>
  <c r="D74" i="22"/>
  <c r="D73" i="22"/>
  <c r="D70" i="22"/>
  <c r="D69" i="22"/>
  <c r="D68" i="22"/>
  <c r="D67" i="22"/>
  <c r="D64" i="22"/>
  <c r="D63" i="22"/>
  <c r="D62" i="22"/>
  <c r="D61" i="22"/>
  <c r="D60" i="22"/>
  <c r="D59" i="22"/>
  <c r="D58" i="22"/>
  <c r="D57" i="22"/>
  <c r="D54" i="22"/>
  <c r="D53" i="22"/>
  <c r="D52" i="22"/>
  <c r="D51" i="22"/>
  <c r="D50" i="22"/>
  <c r="D49" i="22"/>
  <c r="D48" i="22"/>
  <c r="D47" i="22"/>
  <c r="D46" i="22"/>
  <c r="D45" i="22"/>
  <c r="D44" i="22"/>
  <c r="D41" i="22"/>
  <c r="D40" i="22"/>
  <c r="D39" i="22"/>
  <c r="D38" i="22"/>
  <c r="D37" i="22"/>
  <c r="D36" i="22"/>
  <c r="D35" i="22"/>
  <c r="D34" i="22"/>
  <c r="D33" i="22"/>
  <c r="D32" i="22"/>
  <c r="D29" i="22"/>
  <c r="D28" i="22"/>
  <c r="D27" i="22"/>
  <c r="D18" i="22"/>
  <c r="D17" i="22"/>
  <c r="D16" i="22"/>
  <c r="D15" i="22"/>
  <c r="D14" i="22"/>
  <c r="D13" i="22"/>
  <c r="D12" i="22"/>
  <c r="D11" i="22"/>
  <c r="D10" i="22"/>
  <c r="D9" i="22"/>
  <c r="D8" i="22"/>
  <c r="D19" i="22" s="1"/>
  <c r="D38" i="21"/>
  <c r="D37" i="21"/>
  <c r="D36" i="21"/>
  <c r="D35" i="21"/>
  <c r="D34" i="21"/>
  <c r="D33" i="21"/>
  <c r="D32" i="21"/>
  <c r="D29" i="21"/>
  <c r="D28" i="21"/>
  <c r="D24" i="21"/>
  <c r="D21" i="21"/>
  <c r="D20" i="21"/>
  <c r="D19" i="21"/>
  <c r="D18" i="21"/>
  <c r="D15" i="21"/>
  <c r="D14" i="21"/>
  <c r="D13" i="21"/>
  <c r="D12" i="21"/>
  <c r="D11" i="21"/>
  <c r="D10" i="21"/>
  <c r="D9" i="21"/>
  <c r="D8" i="21"/>
  <c r="D34" i="20"/>
  <c r="D33" i="20"/>
  <c r="D32" i="20"/>
  <c r="D31" i="20"/>
  <c r="D30" i="20"/>
  <c r="D27" i="20"/>
  <c r="D26" i="20"/>
  <c r="D25" i="20"/>
  <c r="D24" i="20"/>
  <c r="D21" i="20"/>
  <c r="D20" i="20"/>
  <c r="D19" i="20"/>
  <c r="D18" i="20"/>
  <c r="D17" i="20"/>
  <c r="D16" i="20"/>
  <c r="D13" i="20"/>
  <c r="D12" i="20"/>
  <c r="D9" i="20"/>
  <c r="D8" i="20"/>
  <c r="D48" i="19"/>
  <c r="D47" i="19"/>
  <c r="D46" i="19"/>
  <c r="D45" i="19"/>
  <c r="D44" i="19"/>
  <c r="D43" i="19"/>
  <c r="D39" i="19"/>
  <c r="D38" i="19"/>
  <c r="D37" i="19"/>
  <c r="D36" i="19"/>
  <c r="D35" i="19"/>
  <c r="D34" i="19"/>
  <c r="D33" i="19"/>
  <c r="D32" i="19"/>
  <c r="D29" i="19"/>
  <c r="D28" i="19"/>
  <c r="D27" i="19"/>
  <c r="D26" i="19"/>
  <c r="D25" i="19"/>
  <c r="D23" i="19"/>
  <c r="D19" i="19"/>
  <c r="D18" i="19"/>
  <c r="D17" i="19"/>
  <c r="D16" i="19"/>
  <c r="D15" i="19"/>
  <c r="D14" i="19"/>
  <c r="D13" i="19"/>
  <c r="D12" i="19"/>
  <c r="D9" i="19"/>
  <c r="D8" i="19"/>
  <c r="D50" i="18"/>
  <c r="D48" i="18"/>
  <c r="D45" i="18"/>
  <c r="D43" i="18"/>
  <c r="D41" i="18"/>
  <c r="D39" i="18"/>
  <c r="D37" i="18"/>
  <c r="D33" i="18"/>
  <c r="D25" i="18"/>
  <c r="D23" i="18"/>
  <c r="D21" i="18"/>
  <c r="D19" i="18"/>
  <c r="D14" i="18"/>
  <c r="D12" i="18"/>
  <c r="D10" i="18"/>
  <c r="D8" i="18"/>
  <c r="D51" i="14"/>
  <c r="D33" i="14"/>
  <c r="D21" i="14"/>
  <c r="D20" i="14"/>
  <c r="D16" i="14"/>
  <c r="D13" i="14"/>
  <c r="D12" i="14"/>
  <c r="D10" i="14"/>
  <c r="D8" i="14"/>
  <c r="D44" i="13"/>
  <c r="D43" i="13"/>
  <c r="D41" i="13"/>
  <c r="D37" i="13"/>
  <c r="D33" i="13"/>
  <c r="D29" i="13"/>
  <c r="D28" i="13"/>
  <c r="D27" i="13"/>
  <c r="D26" i="13"/>
  <c r="D23" i="13"/>
  <c r="D22" i="13"/>
  <c r="D21" i="13"/>
  <c r="D18" i="13"/>
  <c r="D17" i="13"/>
  <c r="D16" i="13"/>
  <c r="D15" i="13"/>
  <c r="D14" i="13"/>
  <c r="D13" i="13"/>
  <c r="D9" i="13"/>
  <c r="D8" i="13"/>
  <c r="D45" i="11"/>
  <c r="D44" i="11"/>
  <c r="D43" i="11"/>
  <c r="D41" i="11"/>
  <c r="D37" i="11"/>
  <c r="D36" i="11"/>
  <c r="D35" i="11"/>
  <c r="D34" i="11"/>
  <c r="D33" i="11"/>
  <c r="D32" i="11"/>
  <c r="D31" i="11"/>
  <c r="D30" i="11"/>
  <c r="D28" i="11"/>
  <c r="D27" i="11"/>
  <c r="D26" i="11"/>
  <c r="D25" i="11"/>
  <c r="D24" i="11"/>
  <c r="D23" i="11"/>
  <c r="D22" i="11"/>
  <c r="D18" i="11"/>
  <c r="D14" i="11"/>
  <c r="D13" i="11"/>
  <c r="D12" i="11"/>
  <c r="D8" i="11"/>
  <c r="D50" i="10"/>
  <c r="D49" i="10"/>
  <c r="D43" i="10"/>
  <c r="D42" i="10"/>
  <c r="D41" i="10"/>
  <c r="D40" i="10"/>
  <c r="D39" i="10"/>
  <c r="D38" i="10"/>
  <c r="D35" i="10"/>
  <c r="D34" i="10"/>
  <c r="D31" i="10"/>
  <c r="D30" i="10"/>
  <c r="D29" i="10"/>
  <c r="D28" i="10"/>
  <c r="D25" i="10"/>
  <c r="D24" i="10"/>
  <c r="D23" i="10"/>
  <c r="D22" i="10"/>
  <c r="D21" i="10"/>
  <c r="D18" i="10"/>
  <c r="D17" i="10"/>
  <c r="D15" i="10"/>
  <c r="D12" i="10"/>
  <c r="D11" i="10"/>
  <c r="D10" i="10"/>
  <c r="D9" i="10"/>
  <c r="D8" i="10"/>
  <c r="D44" i="9"/>
  <c r="D43" i="9"/>
  <c r="D42" i="9"/>
  <c r="D41" i="9"/>
  <c r="D40" i="9"/>
  <c r="D39" i="9"/>
  <c r="D38" i="9"/>
  <c r="D37" i="9"/>
  <c r="D34" i="9"/>
  <c r="D33" i="9"/>
  <c r="D32" i="9"/>
  <c r="D31" i="9"/>
  <c r="D30" i="9"/>
  <c r="D29" i="9"/>
  <c r="D28" i="9"/>
  <c r="D25" i="9"/>
  <c r="D24" i="9"/>
  <c r="D23" i="9"/>
  <c r="D22" i="9"/>
  <c r="D21" i="9"/>
  <c r="D20" i="9"/>
  <c r="D19" i="9"/>
  <c r="D18" i="9"/>
  <c r="D17" i="9"/>
  <c r="D13" i="9"/>
  <c r="D12" i="9"/>
  <c r="D11" i="9"/>
  <c r="D10" i="9"/>
  <c r="D9" i="9"/>
  <c r="D8" i="9"/>
  <c r="D33" i="8"/>
  <c r="D39" i="8"/>
  <c r="D38" i="8"/>
  <c r="D37" i="8"/>
  <c r="D36" i="8"/>
  <c r="D35" i="8"/>
  <c r="D32" i="8"/>
  <c r="D31" i="8"/>
  <c r="D30" i="8"/>
  <c r="D29" i="8"/>
  <c r="D25" i="8"/>
  <c r="D24" i="8"/>
  <c r="D23" i="8"/>
  <c r="D17" i="8"/>
  <c r="D16" i="8"/>
  <c r="D21" i="8" s="1"/>
  <c r="D13" i="8"/>
  <c r="D12" i="8"/>
  <c r="D11" i="8"/>
  <c r="D10" i="8"/>
  <c r="D9" i="8"/>
  <c r="D8" i="8"/>
  <c r="D74" i="32"/>
  <c r="D70" i="32"/>
  <c r="D66" i="32"/>
  <c r="D63" i="32"/>
  <c r="D62" i="32"/>
  <c r="D61" i="32"/>
  <c r="D58" i="32"/>
  <c r="D57" i="32"/>
  <c r="D56" i="32"/>
  <c r="D55" i="32"/>
  <c r="D54" i="32"/>
  <c r="D53" i="32"/>
  <c r="D52" i="32"/>
  <c r="D49" i="32"/>
  <c r="D48" i="32"/>
  <c r="D47" i="32"/>
  <c r="D46" i="32"/>
  <c r="D45" i="32"/>
  <c r="D44" i="32"/>
  <c r="D41" i="32"/>
  <c r="D40" i="32"/>
  <c r="D39" i="32"/>
  <c r="D38" i="32"/>
  <c r="D37" i="32"/>
  <c r="D36" i="32"/>
  <c r="D35" i="32"/>
  <c r="D34" i="32"/>
  <c r="D33" i="32"/>
  <c r="D31" i="32"/>
  <c r="D28" i="32"/>
  <c r="D27" i="32"/>
  <c r="D26" i="32"/>
  <c r="D25" i="32"/>
  <c r="D24" i="32"/>
  <c r="D23" i="32"/>
  <c r="D22" i="32"/>
  <c r="D21" i="32"/>
  <c r="D20" i="32"/>
  <c r="D17" i="32"/>
  <c r="D16" i="32"/>
  <c r="D15" i="32"/>
  <c r="D11" i="32"/>
  <c r="D10" i="32"/>
  <c r="D9" i="32"/>
  <c r="D8" i="32"/>
  <c r="D46" i="7"/>
  <c r="D45" i="7"/>
  <c r="D44" i="7"/>
  <c r="D43" i="7"/>
  <c r="D42" i="7"/>
  <c r="D39" i="7"/>
  <c r="D38" i="7"/>
  <c r="D37" i="7"/>
  <c r="D36" i="7"/>
  <c r="D35" i="7"/>
  <c r="D34" i="7"/>
  <c r="D30" i="7"/>
  <c r="D29" i="7"/>
  <c r="D28" i="7"/>
  <c r="D27" i="7"/>
  <c r="D26" i="7"/>
  <c r="D25" i="7"/>
  <c r="D24" i="7"/>
  <c r="D20" i="7"/>
  <c r="D19" i="7"/>
  <c r="D18" i="7"/>
  <c r="D17" i="7"/>
  <c r="D16" i="7"/>
  <c r="D15" i="7"/>
  <c r="D14" i="7"/>
  <c r="D13" i="7"/>
  <c r="D9" i="7"/>
  <c r="D8" i="7"/>
  <c r="D56" i="23"/>
  <c r="D82" i="22"/>
  <c r="D45" i="21"/>
  <c r="D39" i="20"/>
  <c r="D59" i="19"/>
  <c r="D66" i="16"/>
  <c r="D40" i="15"/>
  <c r="D58" i="18"/>
  <c r="D58" i="14"/>
  <c r="D52" i="13"/>
  <c r="D55" i="11"/>
  <c r="D59" i="10"/>
  <c r="D50" i="9"/>
  <c r="D48" i="8"/>
  <c r="D81" i="32"/>
  <c r="D54" i="7"/>
  <c r="D62" i="16" l="1"/>
  <c r="G55" i="16"/>
  <c r="D19" i="16"/>
  <c r="G13" i="16"/>
  <c r="D49" i="14"/>
  <c r="G33" i="14"/>
  <c r="F16" i="8"/>
  <c r="G16" i="8"/>
  <c r="G17" i="8"/>
  <c r="F17" i="8"/>
  <c r="G18" i="8"/>
  <c r="F18" i="8"/>
  <c r="G19" i="8"/>
  <c r="F19" i="8"/>
  <c r="F29" i="8"/>
  <c r="F30" i="8"/>
  <c r="F31" i="8"/>
  <c r="F32" i="8"/>
  <c r="G35" i="8"/>
  <c r="F35" i="8"/>
  <c r="G36" i="8"/>
  <c r="F36" i="8"/>
  <c r="G37" i="8"/>
  <c r="F37" i="8"/>
  <c r="G38" i="8"/>
  <c r="F38" i="8"/>
  <c r="G39" i="8"/>
  <c r="F39" i="8"/>
  <c r="G37" i="9"/>
  <c r="F37" i="9"/>
  <c r="G38" i="9"/>
  <c r="F38" i="9"/>
  <c r="G39" i="9"/>
  <c r="F39" i="9"/>
  <c r="G40" i="9"/>
  <c r="F40" i="9"/>
  <c r="G41" i="9"/>
  <c r="F41" i="9"/>
  <c r="G42" i="9"/>
  <c r="F42" i="9"/>
  <c r="G43" i="9"/>
  <c r="F43" i="9"/>
  <c r="G44" i="9"/>
  <c r="F44" i="9"/>
  <c r="F38" i="10"/>
  <c r="F39" i="10"/>
  <c r="F40" i="10"/>
  <c r="F41" i="10"/>
  <c r="F42" i="10"/>
  <c r="F43" i="10"/>
  <c r="F41" i="14"/>
  <c r="F42" i="14"/>
  <c r="F43" i="14"/>
  <c r="F44" i="14"/>
  <c r="F45" i="14"/>
  <c r="F46" i="14"/>
  <c r="F41" i="18"/>
  <c r="G41" i="18"/>
  <c r="G43" i="18"/>
  <c r="F43" i="18"/>
  <c r="F42" i="23"/>
  <c r="G42" i="23"/>
  <c r="F43" i="23"/>
  <c r="G43" i="23"/>
  <c r="G27" i="15"/>
  <c r="F27" i="15"/>
  <c r="G28" i="15"/>
  <c r="F28" i="15"/>
  <c r="G29" i="15"/>
  <c r="F29" i="15"/>
  <c r="G30" i="15"/>
  <c r="F30" i="15"/>
  <c r="G31" i="15"/>
  <c r="F31" i="15"/>
  <c r="G32" i="15"/>
  <c r="F32" i="15"/>
  <c r="G33" i="15"/>
  <c r="F33" i="15"/>
  <c r="G34" i="15"/>
  <c r="F34" i="15"/>
  <c r="F23" i="16"/>
  <c r="F24" i="16"/>
  <c r="F25" i="16"/>
  <c r="F26" i="16"/>
  <c r="F27" i="16"/>
  <c r="F28" i="16"/>
  <c r="F29" i="16"/>
  <c r="F30" i="16"/>
  <c r="F44" i="16"/>
  <c r="F45" i="16"/>
  <c r="F46" i="16"/>
  <c r="F47" i="16"/>
  <c r="F48" i="16"/>
  <c r="F49" i="16"/>
  <c r="F50" i="16"/>
  <c r="F51" i="16"/>
  <c r="G17" i="22"/>
  <c r="F17" i="22"/>
  <c r="G18" i="22"/>
  <c r="F18" i="22"/>
  <c r="E31" i="18"/>
  <c r="D40" i="8"/>
  <c r="D50" i="32"/>
  <c r="D59" i="32"/>
  <c r="F26" i="8" l="1"/>
  <c r="D25" i="22" l="1"/>
  <c r="F54" i="14" l="1"/>
  <c r="C13" i="1"/>
  <c r="F30" i="13"/>
  <c r="F38" i="13"/>
  <c r="F34" i="13"/>
  <c r="F25" i="21"/>
  <c r="C12" i="1"/>
  <c r="F30" i="18"/>
  <c r="D27" i="8" l="1"/>
  <c r="D76" i="22" l="1"/>
  <c r="F49" i="11" l="1"/>
  <c r="F74" i="32"/>
  <c r="F51" i="14" l="1"/>
  <c r="D20" i="11"/>
  <c r="D47" i="10"/>
  <c r="D46" i="9"/>
  <c r="D13" i="32" l="1"/>
  <c r="D36" i="15" l="1"/>
  <c r="F61" i="16" l="1"/>
  <c r="F10" i="23" l="1"/>
  <c r="D11" i="23"/>
  <c r="D15" i="15" l="1"/>
  <c r="D42" i="16"/>
  <c r="D46" i="11" l="1"/>
  <c r="F34" i="9"/>
  <c r="D35" i="9"/>
  <c r="G25" i="9"/>
  <c r="D26" i="9"/>
  <c r="F28" i="32"/>
  <c r="G28" i="32"/>
  <c r="D29" i="32"/>
  <c r="G34" i="9" l="1"/>
  <c r="F25" i="9"/>
  <c r="F67" i="32" l="1"/>
  <c r="D68" i="32"/>
  <c r="D64" i="32"/>
  <c r="D42" i="32"/>
  <c r="C8" i="1"/>
  <c r="D4" i="32"/>
  <c r="C2" i="32"/>
  <c r="F12" i="32" l="1"/>
  <c r="D18" i="32"/>
  <c r="D76" i="32" l="1"/>
  <c r="B8" i="1" l="1"/>
  <c r="D8" i="1" s="1"/>
  <c r="D79" i="32"/>
  <c r="F9" i="11" l="1"/>
  <c r="O53" i="10" l="1"/>
  <c r="F38" i="11" l="1"/>
  <c r="C14" i="1" l="1"/>
  <c r="C22" i="1"/>
  <c r="C20" i="1"/>
  <c r="F20" i="19"/>
  <c r="C11" i="1"/>
  <c r="D26" i="21" l="1"/>
  <c r="D10" i="11" l="1"/>
  <c r="D31" i="13" l="1"/>
  <c r="D52" i="23"/>
  <c r="F34" i="18" l="1"/>
  <c r="D21" i="19" l="1"/>
  <c r="D42" i="22"/>
  <c r="F31" i="7" l="1"/>
  <c r="F10" i="7"/>
  <c r="D32" i="7" l="1"/>
  <c r="A159" i="27" l="1"/>
  <c r="E159" i="27"/>
  <c r="D41" i="19" l="1"/>
  <c r="D24" i="27" l="1"/>
  <c r="D23" i="27" l="1"/>
  <c r="D20" i="27"/>
  <c r="D6" i="27"/>
  <c r="A33" i="27" l="1"/>
  <c r="E33" i="27"/>
  <c r="D15" i="27"/>
  <c r="D400" i="27"/>
  <c r="D109" i="27" l="1"/>
  <c r="D349" i="27" l="1"/>
  <c r="R46" i="11" l="1"/>
  <c r="R32" i="16"/>
  <c r="D381" i="27" l="1"/>
  <c r="D116" i="27"/>
  <c r="D21" i="27" l="1"/>
  <c r="A381" i="27" l="1"/>
  <c r="E381" i="27"/>
  <c r="D4" i="27"/>
  <c r="D305" i="27" l="1"/>
  <c r="C34" i="27" l="1"/>
  <c r="E25" i="27" l="1"/>
  <c r="A25" i="27"/>
  <c r="A11" i="27" l="1"/>
  <c r="E11" i="27"/>
  <c r="A319" i="27" l="1"/>
  <c r="E319" i="27"/>
  <c r="A296" i="27" l="1"/>
  <c r="E296" i="27"/>
  <c r="A273" i="27" l="1"/>
  <c r="E273" i="27"/>
  <c r="A30" i="27"/>
  <c r="E30" i="27"/>
  <c r="A136" i="27" l="1"/>
  <c r="E136" i="27"/>
  <c r="A67" i="27" l="1"/>
  <c r="E67" i="27"/>
  <c r="A80" i="27"/>
  <c r="E80" i="27"/>
  <c r="A64" i="27"/>
  <c r="E64" i="27"/>
  <c r="E44" i="27" l="1"/>
  <c r="A77" i="27" l="1"/>
  <c r="E77" i="27"/>
  <c r="E262" i="27"/>
  <c r="E264" i="27"/>
  <c r="E265" i="27"/>
  <c r="E226" i="27"/>
  <c r="E268" i="27"/>
  <c r="F54" i="18" l="1"/>
  <c r="D54" i="18"/>
  <c r="A54" i="27" l="1"/>
  <c r="A129" i="27"/>
  <c r="A276" i="27"/>
  <c r="A285" i="27"/>
  <c r="A267" i="27" l="1"/>
  <c r="A399" i="27" l="1"/>
  <c r="A371" i="27" l="1"/>
  <c r="A340" i="27" l="1"/>
  <c r="A81" i="27" l="1"/>
  <c r="A357" i="27" l="1"/>
  <c r="A358" i="27"/>
  <c r="A171" i="27"/>
  <c r="A441" i="27"/>
  <c r="A15" i="27" l="1"/>
  <c r="A141" i="27" l="1"/>
  <c r="A397" i="27" l="1"/>
  <c r="A116" i="27" l="1"/>
  <c r="A156" i="27" l="1"/>
  <c r="D443" i="27" l="1"/>
  <c r="B59" i="30" l="1"/>
  <c r="A258" i="27" l="1"/>
  <c r="A58" i="27" l="1"/>
  <c r="A347" i="27"/>
  <c r="A114" i="27" l="1"/>
  <c r="A251" i="27"/>
  <c r="A326" i="27"/>
  <c r="A18" i="27"/>
  <c r="A152" i="27" l="1"/>
  <c r="A20" i="27"/>
  <c r="D14" i="8" l="1"/>
  <c r="A242" i="27" l="1"/>
  <c r="A436" i="27"/>
  <c r="A437" i="27"/>
  <c r="A438" i="27"/>
  <c r="A224" i="27"/>
  <c r="A439" i="27"/>
  <c r="A440" i="27"/>
  <c r="A71" i="27"/>
  <c r="A57" i="27"/>
  <c r="A62" i="27"/>
  <c r="A230" i="27" l="1"/>
  <c r="A63" i="27"/>
  <c r="A429" i="27"/>
  <c r="A182" i="27"/>
  <c r="A430" i="27"/>
  <c r="A143" i="27"/>
  <c r="A431" i="27"/>
  <c r="A13" i="27"/>
  <c r="A432" i="27"/>
  <c r="A433" i="27"/>
  <c r="A78" i="27"/>
  <c r="A434" i="27"/>
  <c r="A94" i="27"/>
  <c r="A435" i="27"/>
  <c r="A163" i="27"/>
  <c r="A84" i="27"/>
  <c r="D46" i="8" l="1"/>
  <c r="B9" i="1" l="1"/>
  <c r="E44" i="25"/>
  <c r="F43" i="25"/>
  <c r="E43" i="25"/>
  <c r="D43" i="25"/>
  <c r="F42" i="25"/>
  <c r="E42" i="25"/>
  <c r="D42" i="25"/>
  <c r="F41" i="25"/>
  <c r="E41" i="25"/>
  <c r="E40" i="25"/>
  <c r="D40" i="25"/>
  <c r="F39" i="25"/>
  <c r="E39" i="25"/>
  <c r="F38" i="25"/>
  <c r="E38" i="25"/>
  <c r="F37" i="25"/>
  <c r="E37" i="25"/>
  <c r="F52" i="25"/>
  <c r="E52" i="25"/>
  <c r="D52" i="25"/>
  <c r="E29" i="25"/>
  <c r="E28" i="25"/>
  <c r="D28" i="25"/>
  <c r="F26" i="25"/>
  <c r="E26" i="25"/>
  <c r="F25" i="25"/>
  <c r="E25" i="25"/>
  <c r="D25" i="25"/>
  <c r="F24" i="25"/>
  <c r="E24" i="25"/>
  <c r="D24" i="25"/>
  <c r="F23" i="25"/>
  <c r="E23" i="25"/>
  <c r="D23" i="25"/>
  <c r="C23" i="25"/>
  <c r="B23" i="25"/>
  <c r="F22" i="25"/>
  <c r="E22" i="25"/>
  <c r="L8" i="8"/>
  <c r="E46" i="25" l="1"/>
  <c r="G23" i="25"/>
  <c r="A237" i="27"/>
  <c r="A415" i="27"/>
  <c r="A416" i="27"/>
  <c r="A417" i="27"/>
  <c r="A217" i="27"/>
  <c r="A418" i="27"/>
  <c r="A185" i="27"/>
  <c r="A419" i="27"/>
  <c r="A89" i="27"/>
  <c r="A420" i="27"/>
  <c r="A154" i="27"/>
  <c r="A23" i="27"/>
  <c r="A421" i="27"/>
  <c r="A422" i="27"/>
  <c r="A423" i="27"/>
  <c r="A254" i="27"/>
  <c r="A424" i="27"/>
  <c r="A425" i="27"/>
  <c r="A426" i="27"/>
  <c r="A193" i="27"/>
  <c r="A427" i="27"/>
  <c r="A101" i="27"/>
  <c r="A428" i="27"/>
  <c r="A146" i="27"/>
  <c r="A206" i="27"/>
  <c r="A29" i="27"/>
  <c r="C28" i="1" l="1"/>
  <c r="D35" i="18" l="1"/>
  <c r="D39" i="13"/>
  <c r="D35" i="13"/>
  <c r="D11" i="13" l="1"/>
  <c r="F10" i="13"/>
  <c r="C7" i="1" l="1"/>
  <c r="D11" i="7"/>
  <c r="C30" i="1" l="1"/>
  <c r="A389" i="27" l="1"/>
  <c r="A390" i="27"/>
  <c r="A391" i="27"/>
  <c r="A392" i="27"/>
  <c r="A393" i="27"/>
  <c r="A190" i="27"/>
  <c r="A394" i="27"/>
  <c r="A165" i="27"/>
  <c r="A395" i="27"/>
  <c r="A128" i="27"/>
  <c r="A396" i="27"/>
  <c r="A90" i="27"/>
  <c r="A247" i="27"/>
  <c r="A398" i="27"/>
  <c r="A145" i="27"/>
  <c r="A244" i="27"/>
  <c r="A79" i="27"/>
  <c r="A189" i="27"/>
  <c r="A147" i="27"/>
  <c r="A400" i="27"/>
  <c r="A401" i="27"/>
  <c r="A402" i="27"/>
  <c r="A403" i="27"/>
  <c r="A155" i="27"/>
  <c r="A232" i="27"/>
  <c r="A22" i="27"/>
  <c r="A404" i="27"/>
  <c r="A249" i="27"/>
  <c r="A405" i="27"/>
  <c r="A208" i="27"/>
  <c r="A196" i="27"/>
  <c r="A406" i="27"/>
  <c r="A48" i="27"/>
  <c r="A407" i="27"/>
  <c r="A85" i="27"/>
  <c r="A123" i="27"/>
  <c r="A408" i="27"/>
  <c r="A219" i="27"/>
  <c r="A409" i="27"/>
  <c r="A55" i="27"/>
  <c r="A221" i="27"/>
  <c r="A410" i="27"/>
  <c r="A411" i="27"/>
  <c r="A203" i="27"/>
  <c r="A412" i="27"/>
  <c r="A222" i="27"/>
  <c r="A413" i="27"/>
  <c r="A250" i="27"/>
  <c r="A414" i="27"/>
  <c r="A188" i="27" l="1"/>
  <c r="A36" i="27"/>
  <c r="A352" i="27"/>
  <c r="A69" i="27"/>
  <c r="A10" i="27"/>
  <c r="A115" i="27"/>
  <c r="A353" i="27"/>
  <c r="A354" i="27"/>
  <c r="A5" i="27"/>
  <c r="A8" i="27"/>
  <c r="A355" i="27"/>
  <c r="A356" i="27"/>
  <c r="A164" i="27"/>
  <c r="A93" i="27"/>
  <c r="A359" i="27"/>
  <c r="A50" i="27"/>
  <c r="A360" i="27"/>
  <c r="A19" i="27"/>
  <c r="A361" i="27"/>
  <c r="A362" i="27"/>
  <c r="A70" i="27"/>
  <c r="A186" i="27"/>
  <c r="A74" i="27"/>
  <c r="A363" i="27"/>
  <c r="A149" i="27"/>
  <c r="A364" i="27"/>
  <c r="A40" i="27"/>
  <c r="A97" i="27"/>
  <c r="A365" i="27"/>
  <c r="A366" i="27"/>
  <c r="A367" i="27"/>
  <c r="A245" i="27"/>
  <c r="A195" i="27"/>
  <c r="A183" i="27"/>
  <c r="A368" i="27"/>
  <c r="A369" i="27"/>
  <c r="A191" i="27"/>
  <c r="A42" i="27"/>
  <c r="A45" i="27"/>
  <c r="A56" i="27"/>
  <c r="A168" i="27"/>
  <c r="A248" i="27"/>
  <c r="A370" i="27"/>
  <c r="A372" i="27"/>
  <c r="A373" i="27"/>
  <c r="A374" i="27"/>
  <c r="A375" i="27"/>
  <c r="A376" i="27"/>
  <c r="A223" i="27"/>
  <c r="A148" i="27"/>
  <c r="A207" i="27"/>
  <c r="A192" i="27"/>
  <c r="A377" i="27"/>
  <c r="A378" i="27"/>
  <c r="A379" i="27"/>
  <c r="A380" i="27"/>
  <c r="A382" i="27"/>
  <c r="A17" i="27"/>
  <c r="A383" i="27"/>
  <c r="A384" i="27"/>
  <c r="A385" i="27"/>
  <c r="A49" i="27"/>
  <c r="A386" i="27"/>
  <c r="A38" i="27"/>
  <c r="A387" i="27"/>
  <c r="A61" i="27"/>
  <c r="A388" i="27"/>
  <c r="A259" i="27" l="1"/>
  <c r="A212" i="27"/>
  <c r="A106" i="27"/>
  <c r="A113" i="27"/>
  <c r="A96" i="27"/>
  <c r="A260" i="27"/>
  <c r="A215" i="27"/>
  <c r="A240" i="27"/>
  <c r="A261" i="27"/>
  <c r="A173" i="27"/>
  <c r="A137" i="27"/>
  <c r="A175" i="27"/>
  <c r="A202" i="27"/>
  <c r="A9" i="27"/>
  <c r="A262" i="27"/>
  <c r="A234" i="27"/>
  <c r="A124" i="27"/>
  <c r="A263" i="27"/>
  <c r="A264" i="27"/>
  <c r="A265" i="27"/>
  <c r="A226" i="27"/>
  <c r="A266" i="27"/>
  <c r="A130" i="27"/>
  <c r="A66" i="27"/>
  <c r="A268" i="27"/>
  <c r="A269" i="27"/>
  <c r="A76" i="27"/>
  <c r="A198" i="27"/>
  <c r="A187" i="27"/>
  <c r="A239" i="27"/>
  <c r="A176" i="27"/>
  <c r="A270" i="27"/>
  <c r="A178" i="27"/>
  <c r="A271" i="27"/>
  <c r="A27" i="27"/>
  <c r="A46" i="27"/>
  <c r="A214" i="27"/>
  <c r="A204" i="27"/>
  <c r="A200" i="27"/>
  <c r="A272" i="27"/>
  <c r="A151" i="27"/>
  <c r="A140" i="27"/>
  <c r="A107" i="27"/>
  <c r="A142" i="27"/>
  <c r="A73" i="27"/>
  <c r="A65" i="27"/>
  <c r="A166" i="27"/>
  <c r="A274" i="27"/>
  <c r="A275" i="27"/>
  <c r="A162" i="27"/>
  <c r="A167" i="27"/>
  <c r="A257" i="27"/>
  <c r="A277" i="27"/>
  <c r="A278" i="27"/>
  <c r="A256" i="27"/>
  <c r="A179" i="27"/>
  <c r="A194" i="27"/>
  <c r="A279" i="27"/>
  <c r="A281" i="27"/>
  <c r="A282" i="27"/>
  <c r="A255" i="27"/>
  <c r="A100" i="27"/>
  <c r="A82" i="27"/>
  <c r="A72" i="27"/>
  <c r="A132" i="27"/>
  <c r="A133" i="27"/>
  <c r="A283" i="27"/>
  <c r="A26" i="27"/>
  <c r="A59" i="27"/>
  <c r="A284" i="27"/>
  <c r="A150" i="27"/>
  <c r="A110" i="27"/>
  <c r="A28" i="27"/>
  <c r="A68" i="27"/>
  <c r="A39" i="27"/>
  <c r="A99" i="27"/>
  <c r="A86" i="27"/>
  <c r="A103" i="27"/>
  <c r="A12" i="27"/>
  <c r="A138" i="27"/>
  <c r="A102" i="27"/>
  <c r="A184" i="27"/>
  <c r="A105" i="27"/>
  <c r="A286" i="27"/>
  <c r="A122" i="27"/>
  <c r="A227" i="27"/>
  <c r="A75" i="27"/>
  <c r="A287" i="27"/>
  <c r="A160" i="27"/>
  <c r="A53" i="27"/>
  <c r="A44" i="27"/>
  <c r="A288" i="27"/>
  <c r="A289" i="27"/>
  <c r="A290" i="27"/>
  <c r="A181" i="27"/>
  <c r="A111" i="27"/>
  <c r="A169" i="27"/>
  <c r="A291" i="27"/>
  <c r="A233" i="27"/>
  <c r="A292" i="27"/>
  <c r="A7" i="27"/>
  <c r="A88" i="27"/>
  <c r="A125" i="27"/>
  <c r="A293" i="27"/>
  <c r="A252" i="27"/>
  <c r="A47" i="27"/>
  <c r="A104" i="27"/>
  <c r="A294" i="27"/>
  <c r="A157" i="27"/>
  <c r="A218" i="27"/>
  <c r="A295" i="27"/>
  <c r="A209" i="27"/>
  <c r="A297" i="27"/>
  <c r="A298" i="27"/>
  <c r="A117" i="27"/>
  <c r="A299" i="27"/>
  <c r="A300" i="27"/>
  <c r="A213" i="27"/>
  <c r="A301" i="27"/>
  <c r="A302" i="27"/>
  <c r="A236" i="27"/>
  <c r="A235" i="27"/>
  <c r="A253" i="27"/>
  <c r="A52" i="27"/>
  <c r="A95" i="27"/>
  <c r="A139" i="27"/>
  <c r="A303" i="27"/>
  <c r="A134" i="27"/>
  <c r="A119" i="27"/>
  <c r="A120" i="27"/>
  <c r="A225" i="27"/>
  <c r="A87" i="27"/>
  <c r="A304" i="27"/>
  <c r="A305" i="27"/>
  <c r="A205" i="27"/>
  <c r="A174" i="27"/>
  <c r="A306" i="27"/>
  <c r="A307" i="27"/>
  <c r="A308" i="27"/>
  <c r="A43" i="27"/>
  <c r="A34" i="27"/>
  <c r="A309" i="27"/>
  <c r="A60" i="27"/>
  <c r="A310" i="27"/>
  <c r="A35" i="27"/>
  <c r="A311" i="27"/>
  <c r="A144" i="27"/>
  <c r="A108" i="27"/>
  <c r="A6" i="27"/>
  <c r="A201" i="27"/>
  <c r="A246" i="27"/>
  <c r="A3" i="27"/>
  <c r="A229" i="27"/>
  <c r="A312" i="27"/>
  <c r="A313" i="27"/>
  <c r="A314" i="27"/>
  <c r="A315" i="27"/>
  <c r="A316" i="27"/>
  <c r="A228" i="27"/>
  <c r="A317" i="27"/>
  <c r="A318" i="27"/>
  <c r="A14" i="27"/>
  <c r="A216" i="27"/>
  <c r="A320" i="27"/>
  <c r="A127" i="27"/>
  <c r="A197" i="27"/>
  <c r="A321" i="27"/>
  <c r="A322" i="27"/>
  <c r="A241" i="27"/>
  <c r="A323" i="27"/>
  <c r="A324" i="27"/>
  <c r="A325" i="27"/>
  <c r="A327" i="27"/>
  <c r="A211" i="27"/>
  <c r="A16" i="27"/>
  <c r="A328" i="27"/>
  <c r="A21" i="27"/>
  <c r="A329" i="27"/>
  <c r="A41" i="27"/>
  <c r="A330" i="27"/>
  <c r="A331" i="27"/>
  <c r="A332" i="27"/>
  <c r="A333" i="27"/>
  <c r="A37" i="27"/>
  <c r="A131" i="27"/>
  <c r="A158" i="27"/>
  <c r="A334" i="27"/>
  <c r="A335" i="27"/>
  <c r="A336" i="27"/>
  <c r="A91" i="27"/>
  <c r="A177" i="27"/>
  <c r="A2" i="27"/>
  <c r="A180" i="27"/>
  <c r="A231" i="27"/>
  <c r="A337" i="27"/>
  <c r="A31" i="27"/>
  <c r="A338" i="27"/>
  <c r="A32" i="27"/>
  <c r="A210" i="27"/>
  <c r="A339" i="27"/>
  <c r="A153" i="27"/>
  <c r="A341" i="27"/>
  <c r="A92" i="27"/>
  <c r="A342" i="27"/>
  <c r="A343" i="27"/>
  <c r="A83" i="27"/>
  <c r="A24" i="27"/>
  <c r="A118" i="27"/>
  <c r="A135" i="27"/>
  <c r="A344" i="27"/>
  <c r="A345" i="27"/>
  <c r="A172" i="27"/>
  <c r="A170" i="27"/>
  <c r="A346" i="27"/>
  <c r="A220" i="27"/>
  <c r="A98" i="27"/>
  <c r="A126" i="27"/>
  <c r="A348" i="27"/>
  <c r="A238" i="27"/>
  <c r="A121" i="27"/>
  <c r="A243" i="27"/>
  <c r="A4" i="27"/>
  <c r="A199" i="27"/>
  <c r="A109" i="27"/>
  <c r="A349" i="27"/>
  <c r="A112" i="27"/>
  <c r="A350" i="27"/>
  <c r="A161" i="27"/>
  <c r="A351" i="27"/>
  <c r="D19" i="15" l="1"/>
  <c r="D19" i="13"/>
  <c r="D22" i="7"/>
  <c r="E21" i="25" l="1"/>
  <c r="E31" i="25" s="1"/>
  <c r="E56" i="25" s="1"/>
  <c r="D21" i="25"/>
  <c r="M19" i="26" l="1"/>
  <c r="L19" i="26" l="1"/>
  <c r="K19" i="26" l="1"/>
  <c r="J19" i="26" l="1"/>
  <c r="I19" i="26" l="1"/>
  <c r="G19" i="26" l="1"/>
  <c r="H19" i="26"/>
  <c r="I2" i="1" l="1"/>
  <c r="F19" i="26" l="1"/>
  <c r="L5" i="1" l="1"/>
  <c r="E19" i="26" l="1"/>
  <c r="D19" i="26" l="1"/>
  <c r="L4" i="1"/>
  <c r="C2" i="23" l="1"/>
  <c r="C2" i="22"/>
  <c r="C2" i="21"/>
  <c r="C2" i="20"/>
  <c r="C2" i="19"/>
  <c r="C2" i="18"/>
  <c r="C2" i="16"/>
  <c r="C2" i="15"/>
  <c r="C2" i="14"/>
  <c r="C2" i="13"/>
  <c r="C2" i="11"/>
  <c r="C2" i="10"/>
  <c r="C2" i="9"/>
  <c r="C2" i="8"/>
  <c r="C2" i="7"/>
  <c r="C19" i="26" l="1"/>
  <c r="B19" i="26"/>
  <c r="C14" i="26"/>
  <c r="D14" i="26"/>
  <c r="E14" i="26"/>
  <c r="F14" i="26"/>
  <c r="G14" i="26"/>
  <c r="H14" i="26"/>
  <c r="I14" i="26"/>
  <c r="J14" i="26"/>
  <c r="K14" i="26"/>
  <c r="L14" i="26"/>
  <c r="M14" i="26"/>
  <c r="B14" i="26"/>
  <c r="B33" i="26" l="1"/>
  <c r="C33" i="26" s="1"/>
  <c r="O19" i="26"/>
  <c r="D33" i="26" l="1"/>
  <c r="E33" i="26" l="1"/>
  <c r="F33" i="26" l="1"/>
  <c r="G33" i="26" s="1"/>
  <c r="H33" i="26" s="1"/>
  <c r="I33" i="26" s="1"/>
  <c r="J33" i="26" s="1"/>
  <c r="K33" i="26" s="1"/>
  <c r="L33" i="26" s="1"/>
  <c r="M33" i="26" s="1"/>
  <c r="O23" i="26"/>
  <c r="I18" i="26"/>
  <c r="J18" i="26"/>
  <c r="D55" i="22" l="1"/>
  <c r="D53" i="19"/>
  <c r="D10" i="20"/>
  <c r="D14" i="14"/>
  <c r="D30" i="22"/>
  <c r="D28" i="20"/>
  <c r="D10" i="19"/>
  <c r="D15" i="9"/>
  <c r="D65" i="22"/>
  <c r="D46" i="18" l="1"/>
  <c r="D52" i="18" s="1"/>
  <c r="D39" i="21"/>
  <c r="C26" i="1"/>
  <c r="B28" i="26"/>
  <c r="C28" i="26" s="1"/>
  <c r="D28" i="26" s="1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B27" i="26"/>
  <c r="C27" i="26" s="1"/>
  <c r="D27" i="26" s="1"/>
  <c r="E27" i="26" s="1"/>
  <c r="F27" i="26" s="1"/>
  <c r="G27" i="26" s="1"/>
  <c r="H27" i="26" s="1"/>
  <c r="I27" i="26" s="1"/>
  <c r="J27" i="26" s="1"/>
  <c r="K27" i="26" s="1"/>
  <c r="L27" i="26" s="1"/>
  <c r="M27" i="26" s="1"/>
  <c r="N27" i="26" s="1"/>
  <c r="B26" i="26"/>
  <c r="C26" i="26" s="1"/>
  <c r="B25" i="26"/>
  <c r="C25" i="26" s="1"/>
  <c r="D25" i="26" s="1"/>
  <c r="B24" i="26"/>
  <c r="C24" i="26" s="1"/>
  <c r="D24" i="26" s="1"/>
  <c r="E24" i="26" s="1"/>
  <c r="F24" i="26" s="1"/>
  <c r="G24" i="26" s="1"/>
  <c r="A23" i="26"/>
  <c r="N18" i="26"/>
  <c r="M18" i="26"/>
  <c r="K18" i="26"/>
  <c r="H18" i="26"/>
  <c r="G18" i="26"/>
  <c r="F18" i="26"/>
  <c r="E18" i="26"/>
  <c r="D18" i="26"/>
  <c r="C18" i="26"/>
  <c r="B18" i="26"/>
  <c r="B32" i="26" s="1"/>
  <c r="M17" i="26"/>
  <c r="L17" i="26"/>
  <c r="K17" i="26"/>
  <c r="J17" i="26"/>
  <c r="I17" i="26"/>
  <c r="H17" i="26"/>
  <c r="G17" i="26"/>
  <c r="F17" i="26"/>
  <c r="E17" i="26"/>
  <c r="D17" i="26"/>
  <c r="C17" i="26"/>
  <c r="B17" i="26"/>
  <c r="B31" i="26" s="1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B30" i="26" s="1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B29" i="26" s="1"/>
  <c r="A15" i="26"/>
  <c r="B23" i="26"/>
  <c r="C23" i="26" s="1"/>
  <c r="D23" i="26" s="1"/>
  <c r="N10" i="26"/>
  <c r="N14" i="26" s="1"/>
  <c r="A35" i="1"/>
  <c r="L3" i="1"/>
  <c r="L2" i="1"/>
  <c r="D48" i="23"/>
  <c r="D22" i="23"/>
  <c r="D35" i="20"/>
  <c r="D22" i="20"/>
  <c r="D14" i="20"/>
  <c r="D11" i="16"/>
  <c r="D25" i="15"/>
  <c r="F15" i="11"/>
  <c r="D51" i="10"/>
  <c r="D36" i="10"/>
  <c r="D26" i="10"/>
  <c r="D19" i="10"/>
  <c r="D13" i="10"/>
  <c r="D4" i="23"/>
  <c r="D4" i="22"/>
  <c r="D4" i="21"/>
  <c r="D4" i="20"/>
  <c r="D4" i="19"/>
  <c r="D4" i="18"/>
  <c r="D4" i="16"/>
  <c r="D4" i="15"/>
  <c r="D4" i="14"/>
  <c r="D4" i="13"/>
  <c r="D4" i="11"/>
  <c r="D4" i="10"/>
  <c r="D4" i="9"/>
  <c r="D4" i="8"/>
  <c r="D4" i="7"/>
  <c r="D64" i="16" l="1"/>
  <c r="D54" i="23"/>
  <c r="N17" i="26"/>
  <c r="O17" i="26" s="1"/>
  <c r="D48" i="9"/>
  <c r="B10" i="1" s="1"/>
  <c r="C30" i="26"/>
  <c r="C32" i="26"/>
  <c r="O16" i="26"/>
  <c r="B49" i="26"/>
  <c r="B48" i="26"/>
  <c r="E23" i="26"/>
  <c r="O15" i="26"/>
  <c r="O18" i="26"/>
  <c r="D38" i="15"/>
  <c r="B18" i="1" s="1"/>
  <c r="D18" i="1" s="1"/>
  <c r="E25" i="26"/>
  <c r="H24" i="26"/>
  <c r="D26" i="26"/>
  <c r="E26" i="26" s="1"/>
  <c r="F26" i="26" s="1"/>
  <c r="G26" i="26" s="1"/>
  <c r="H26" i="26" s="1"/>
  <c r="I26" i="26" s="1"/>
  <c r="J26" i="26" s="1"/>
  <c r="K26" i="26" s="1"/>
  <c r="L26" i="26" s="1"/>
  <c r="M26" i="26" s="1"/>
  <c r="N26" i="26" s="1"/>
  <c r="B47" i="26"/>
  <c r="C29" i="26"/>
  <c r="O14" i="26"/>
  <c r="C31" i="26"/>
  <c r="D16" i="11"/>
  <c r="D50" i="11" s="1"/>
  <c r="D53" i="11" s="1"/>
  <c r="D22" i="21"/>
  <c r="D45" i="13"/>
  <c r="D16" i="21"/>
  <c r="D49" i="19"/>
  <c r="D55" i="19" s="1"/>
  <c r="D57" i="19" s="1"/>
  <c r="D71" i="22"/>
  <c r="D37" i="20"/>
  <c r="D32" i="10"/>
  <c r="D55" i="10" s="1"/>
  <c r="D57" i="10" s="1"/>
  <c r="D40" i="7"/>
  <c r="D24" i="13"/>
  <c r="D30" i="21"/>
  <c r="D47" i="7"/>
  <c r="D80" i="22" l="1"/>
  <c r="D56" i="18"/>
  <c r="B28" i="1"/>
  <c r="B30" i="1" s="1"/>
  <c r="D30" i="1" s="1"/>
  <c r="D41" i="21"/>
  <c r="D43" i="21"/>
  <c r="D47" i="13"/>
  <c r="D50" i="13" s="1"/>
  <c r="D49" i="7"/>
  <c r="D52" i="7" s="1"/>
  <c r="C49" i="26"/>
  <c r="D32" i="26"/>
  <c r="E32" i="26" s="1"/>
  <c r="D30" i="26"/>
  <c r="F23" i="26"/>
  <c r="F39" i="26"/>
  <c r="J39" i="26"/>
  <c r="N39" i="26"/>
  <c r="C39" i="26"/>
  <c r="E39" i="26"/>
  <c r="G39" i="26"/>
  <c r="K39" i="26"/>
  <c r="D39" i="26"/>
  <c r="I39" i="26"/>
  <c r="B39" i="26"/>
  <c r="H39" i="26"/>
  <c r="L39" i="26"/>
  <c r="M39" i="26"/>
  <c r="C47" i="26"/>
  <c r="D31" i="26"/>
  <c r="I24" i="26"/>
  <c r="F25" i="26"/>
  <c r="D29" i="26"/>
  <c r="C48" i="26"/>
  <c r="F29" i="25"/>
  <c r="B21" i="1"/>
  <c r="D21" i="1" s="1"/>
  <c r="D10" i="1"/>
  <c r="F44" i="25"/>
  <c r="D37" i="25"/>
  <c r="B12" i="1" l="1"/>
  <c r="D12" i="1" s="1"/>
  <c r="D28" i="1"/>
  <c r="B13" i="1"/>
  <c r="D13" i="1" s="1"/>
  <c r="E30" i="26"/>
  <c r="F32" i="26"/>
  <c r="F28" i="25"/>
  <c r="G23" i="26"/>
  <c r="D47" i="26"/>
  <c r="F27" i="25"/>
  <c r="D48" i="26"/>
  <c r="G25" i="26"/>
  <c r="J24" i="26"/>
  <c r="E31" i="26"/>
  <c r="E29" i="26"/>
  <c r="D49" i="26"/>
  <c r="B20" i="1"/>
  <c r="B11" i="1"/>
  <c r="D11" i="1" s="1"/>
  <c r="B22" i="1"/>
  <c r="D22" i="1" s="1"/>
  <c r="B23" i="1"/>
  <c r="D23" i="1" s="1"/>
  <c r="B19" i="1"/>
  <c r="B24" i="1"/>
  <c r="D24" i="1" s="1"/>
  <c r="F40" i="25" l="1"/>
  <c r="F46" i="25" s="1"/>
  <c r="D20" i="1"/>
  <c r="D9" i="1"/>
  <c r="F30" i="26"/>
  <c r="G32" i="26"/>
  <c r="H23" i="26"/>
  <c r="F29" i="26"/>
  <c r="E47" i="26"/>
  <c r="E48" i="26"/>
  <c r="E49" i="26"/>
  <c r="F31" i="26"/>
  <c r="H25" i="26"/>
  <c r="K24" i="26"/>
  <c r="D19" i="1"/>
  <c r="B26" i="1"/>
  <c r="H32" i="26" l="1"/>
  <c r="G30" i="26"/>
  <c r="I23" i="26"/>
  <c r="I25" i="26"/>
  <c r="G29" i="26"/>
  <c r="F47" i="26"/>
  <c r="F48" i="26"/>
  <c r="F49" i="26"/>
  <c r="L24" i="26"/>
  <c r="G31" i="26"/>
  <c r="D26" i="1"/>
  <c r="I32" i="26" l="1"/>
  <c r="H30" i="26"/>
  <c r="J23" i="26"/>
  <c r="H31" i="26"/>
  <c r="M24" i="26"/>
  <c r="H29" i="26"/>
  <c r="G47" i="26"/>
  <c r="G49" i="26"/>
  <c r="G48" i="26"/>
  <c r="J25" i="26"/>
  <c r="I30" i="26" l="1"/>
  <c r="J32" i="26"/>
  <c r="K23" i="26"/>
  <c r="N24" i="26"/>
  <c r="I31" i="26"/>
  <c r="K25" i="26"/>
  <c r="I29" i="26"/>
  <c r="H48" i="26"/>
  <c r="H47" i="26"/>
  <c r="H49" i="26"/>
  <c r="D11" i="25" l="1"/>
  <c r="K32" i="26"/>
  <c r="J30" i="26"/>
  <c r="L23" i="26"/>
  <c r="J31" i="26"/>
  <c r="J29" i="26"/>
  <c r="I48" i="26"/>
  <c r="I49" i="26"/>
  <c r="I47" i="26"/>
  <c r="L25" i="26"/>
  <c r="K30" i="26" l="1"/>
  <c r="L32" i="26"/>
  <c r="M23" i="26"/>
  <c r="K31" i="26"/>
  <c r="K29" i="26"/>
  <c r="J49" i="26"/>
  <c r="J47" i="26"/>
  <c r="J48" i="26"/>
  <c r="M25" i="26"/>
  <c r="M32" i="26" l="1"/>
  <c r="L30" i="26"/>
  <c r="N23" i="26"/>
  <c r="N25" i="26"/>
  <c r="L29" i="26"/>
  <c r="K47" i="26"/>
  <c r="K49" i="26"/>
  <c r="K48" i="26"/>
  <c r="L31" i="26"/>
  <c r="E11" i="25" l="1"/>
  <c r="D10" i="25"/>
  <c r="M30" i="26"/>
  <c r="N32" i="26"/>
  <c r="M44" i="26" s="1"/>
  <c r="N40" i="26"/>
  <c r="N45" i="26" s="1"/>
  <c r="D40" i="26"/>
  <c r="D45" i="26" s="1"/>
  <c r="B40" i="26"/>
  <c r="B45" i="26" s="1"/>
  <c r="C40" i="26"/>
  <c r="C45" i="26" s="1"/>
  <c r="E40" i="26"/>
  <c r="E45" i="26" s="1"/>
  <c r="F40" i="26"/>
  <c r="F45" i="26" s="1"/>
  <c r="G40" i="26"/>
  <c r="G45" i="26" s="1"/>
  <c r="H40" i="26"/>
  <c r="H45" i="26" s="1"/>
  <c r="I40" i="26"/>
  <c r="I45" i="26" s="1"/>
  <c r="J40" i="26"/>
  <c r="J45" i="26" s="1"/>
  <c r="K40" i="26"/>
  <c r="K45" i="26" s="1"/>
  <c r="L40" i="26"/>
  <c r="L45" i="26" s="1"/>
  <c r="M40" i="26"/>
  <c r="M45" i="26" s="1"/>
  <c r="M29" i="26"/>
  <c r="L49" i="26"/>
  <c r="L47" i="26"/>
  <c r="L48" i="26"/>
  <c r="M31" i="26"/>
  <c r="N44" i="26" l="1"/>
  <c r="B44" i="26"/>
  <c r="C44" i="26"/>
  <c r="E44" i="26"/>
  <c r="D44" i="26"/>
  <c r="F44" i="26"/>
  <c r="G44" i="26"/>
  <c r="H44" i="26"/>
  <c r="I44" i="26"/>
  <c r="J44" i="26"/>
  <c r="K44" i="26"/>
  <c r="L44" i="26"/>
  <c r="N30" i="26"/>
  <c r="D8" i="25"/>
  <c r="N31" i="26"/>
  <c r="M43" i="26" s="1"/>
  <c r="N29" i="26"/>
  <c r="M48" i="26"/>
  <c r="M47" i="26"/>
  <c r="M49" i="26"/>
  <c r="N42" i="26" l="1"/>
  <c r="B42" i="26"/>
  <c r="C42" i="26"/>
  <c r="D42" i="26"/>
  <c r="E42" i="26"/>
  <c r="F42" i="26"/>
  <c r="G42" i="26"/>
  <c r="H42" i="26"/>
  <c r="I42" i="26"/>
  <c r="J42" i="26"/>
  <c r="K42" i="26"/>
  <c r="L42" i="26"/>
  <c r="M42" i="26"/>
  <c r="N41" i="26"/>
  <c r="C41" i="26"/>
  <c r="D41" i="26"/>
  <c r="E41" i="26"/>
  <c r="F41" i="26"/>
  <c r="G41" i="26"/>
  <c r="H41" i="26"/>
  <c r="I41" i="26"/>
  <c r="J41" i="26"/>
  <c r="K41" i="26"/>
  <c r="L41" i="26"/>
  <c r="N43" i="26"/>
  <c r="B43" i="26"/>
  <c r="C43" i="26"/>
  <c r="D43" i="26"/>
  <c r="E43" i="26"/>
  <c r="F43" i="26"/>
  <c r="G43" i="26"/>
  <c r="H43" i="26"/>
  <c r="I43" i="26"/>
  <c r="J43" i="26"/>
  <c r="K43" i="26"/>
  <c r="L43" i="26"/>
  <c r="M41" i="26"/>
  <c r="B41" i="26"/>
  <c r="N49" i="26"/>
  <c r="N48" i="26"/>
  <c r="N47" i="26"/>
  <c r="D7" i="25" l="1"/>
  <c r="E8" i="25"/>
  <c r="E9" i="25"/>
  <c r="E10" i="25"/>
  <c r="D9" i="25"/>
  <c r="B7" i="1" l="1"/>
  <c r="D7" i="1" l="1"/>
  <c r="C16" i="1" l="1"/>
  <c r="C35" i="1" l="1"/>
  <c r="E179" i="27" l="1"/>
  <c r="E174" i="27"/>
  <c r="E120" i="27"/>
  <c r="E267" i="27"/>
  <c r="E166" i="27"/>
  <c r="E82" i="27"/>
  <c r="E215" i="27"/>
  <c r="E263" i="27"/>
  <c r="E198" i="27"/>
  <c r="E124" i="27"/>
  <c r="E307" i="27"/>
  <c r="E266" i="27"/>
  <c r="E129" i="27"/>
  <c r="E134" i="27"/>
  <c r="E66" i="27"/>
  <c r="E162" i="27"/>
  <c r="E212" i="27"/>
  <c r="E272" i="27"/>
  <c r="C443" i="27"/>
  <c r="E303" i="27"/>
  <c r="E234" i="27"/>
  <c r="E252" i="27"/>
  <c r="E306" i="27"/>
  <c r="E9" i="27"/>
  <c r="E194" i="27"/>
  <c r="E391" i="27"/>
  <c r="E29" i="27"/>
  <c r="E100" i="27"/>
  <c r="E337" i="27"/>
  <c r="E76" i="27"/>
  <c r="E368" i="27"/>
  <c r="E301" i="27"/>
  <c r="E41" i="27"/>
  <c r="E297" i="27"/>
  <c r="E39" i="27"/>
  <c r="E346" i="27"/>
  <c r="E278" i="27"/>
  <c r="E255" i="27"/>
  <c r="E360" i="27"/>
  <c r="E187" i="27"/>
  <c r="E249" i="27"/>
  <c r="E93" i="27"/>
  <c r="E205" i="27"/>
  <c r="E165" i="27"/>
  <c r="E183" i="27"/>
  <c r="E206" i="27"/>
  <c r="E213" i="27"/>
  <c r="E176" i="27"/>
  <c r="E261" i="27"/>
  <c r="E195" i="27"/>
  <c r="E137" i="27"/>
  <c r="E130" i="27"/>
  <c r="E355" i="27"/>
  <c r="E280" i="27"/>
  <c r="E364" i="27"/>
  <c r="E49" i="27"/>
  <c r="E403" i="27"/>
  <c r="E245" i="27"/>
  <c r="E115" i="27"/>
  <c r="E79" i="27"/>
  <c r="E344" i="27"/>
  <c r="E423" i="27"/>
  <c r="E253" i="27"/>
  <c r="E8" i="27"/>
  <c r="E277" i="27"/>
  <c r="E300" i="27"/>
  <c r="E31" i="27"/>
  <c r="E53" i="27"/>
  <c r="E356" i="27"/>
  <c r="E23" i="27"/>
  <c r="E323" i="27"/>
  <c r="E305" i="27"/>
  <c r="E117" i="27"/>
  <c r="E282" i="27"/>
  <c r="E284" i="27"/>
  <c r="E133" i="27"/>
  <c r="E15" i="27"/>
  <c r="E232" i="27"/>
  <c r="E218" i="27"/>
  <c r="E258" i="27"/>
  <c r="E320" i="27"/>
  <c r="E167" i="27"/>
  <c r="E410" i="27"/>
  <c r="E155" i="27"/>
  <c r="E389" i="27"/>
  <c r="E196" i="27"/>
  <c r="E359" i="27"/>
  <c r="E269" i="27"/>
  <c r="E365" i="27"/>
  <c r="E190" i="27"/>
  <c r="E55" i="27"/>
  <c r="E203" i="27"/>
  <c r="E52" i="27"/>
  <c r="E393" i="27"/>
  <c r="E409" i="27"/>
  <c r="E395" i="27"/>
  <c r="E374" i="27"/>
  <c r="E210" i="27"/>
  <c r="E254" i="27"/>
  <c r="E122" i="27"/>
  <c r="E312" i="27"/>
  <c r="E233" i="27"/>
  <c r="E298" i="27"/>
  <c r="E68" i="27"/>
  <c r="E275" i="27"/>
  <c r="E186" i="27"/>
  <c r="E2" i="27"/>
  <c r="E327" i="27"/>
  <c r="E225" i="27"/>
  <c r="E109" i="27"/>
  <c r="E151" i="27"/>
  <c r="E387" i="27"/>
  <c r="E271" i="27"/>
  <c r="E201" i="27"/>
  <c r="E246" i="27"/>
  <c r="E333" i="27"/>
  <c r="E400" i="27"/>
  <c r="E291" i="27"/>
  <c r="E24" i="27"/>
  <c r="E370" i="27"/>
  <c r="E20" i="27"/>
  <c r="E376" i="27"/>
  <c r="E302" i="27"/>
  <c r="E390" i="27"/>
  <c r="E26" i="27"/>
  <c r="E394" i="27"/>
  <c r="E106" i="27"/>
  <c r="E404" i="27"/>
  <c r="E422" i="27"/>
  <c r="E294" i="27"/>
  <c r="E378" i="27"/>
  <c r="E413" i="27"/>
  <c r="E314" i="27"/>
  <c r="E308" i="27"/>
  <c r="E75" i="27"/>
  <c r="E112" i="27"/>
  <c r="E329" i="27"/>
  <c r="E315" i="27"/>
  <c r="E321" i="27"/>
  <c r="E13" i="27"/>
  <c r="E279" i="27"/>
  <c r="E88" i="27"/>
  <c r="E140" i="27"/>
  <c r="E128" i="27"/>
  <c r="E188" i="27"/>
  <c r="E73" i="27"/>
  <c r="E354" i="27"/>
  <c r="E256" i="27"/>
  <c r="E202" i="27"/>
  <c r="E406" i="27"/>
  <c r="E397" i="27"/>
  <c r="E158" i="27"/>
  <c r="E163" i="27"/>
  <c r="E153" i="27"/>
  <c r="E142" i="27"/>
  <c r="E420" i="27"/>
  <c r="E348" i="27"/>
  <c r="E276" i="27"/>
  <c r="E411" i="27"/>
  <c r="E22" i="27"/>
  <c r="E412" i="27"/>
  <c r="E295" i="27"/>
  <c r="E90" i="27"/>
  <c r="E336" i="27"/>
  <c r="E281" i="27"/>
  <c r="E189" i="27"/>
  <c r="E288" i="27"/>
  <c r="E440" i="27"/>
  <c r="E407" i="27"/>
  <c r="E402" i="27"/>
  <c r="E353" i="27"/>
  <c r="E251" i="27"/>
  <c r="E98" i="27"/>
  <c r="E3" i="27"/>
  <c r="E435" i="27"/>
  <c r="E371" i="27"/>
  <c r="E21" i="27"/>
  <c r="E228" i="27"/>
  <c r="E415" i="27"/>
  <c r="E287" i="27"/>
  <c r="E427" i="27"/>
  <c r="E152" i="27"/>
  <c r="E89" i="27"/>
  <c r="E84" i="27"/>
  <c r="E209" i="27"/>
  <c r="E157" i="27"/>
  <c r="E164" i="27"/>
  <c r="E138" i="27"/>
  <c r="E330" i="27"/>
  <c r="E304" i="27"/>
  <c r="E154" i="27"/>
  <c r="E343" i="27"/>
  <c r="E438" i="27"/>
  <c r="E341" i="27"/>
  <c r="E123" i="27"/>
  <c r="E54" i="27"/>
  <c r="E363" i="27"/>
  <c r="E104" i="27"/>
  <c r="E439" i="27"/>
  <c r="E191" i="27"/>
  <c r="E87" i="27"/>
  <c r="E148" i="27"/>
  <c r="E377" i="27"/>
  <c r="E238" i="27"/>
  <c r="E43" i="27"/>
  <c r="E116" i="27"/>
  <c r="E424" i="27"/>
  <c r="E322" i="27"/>
  <c r="E239" i="27"/>
  <c r="E419" i="27"/>
  <c r="E7" i="27"/>
  <c r="E217" i="27"/>
  <c r="E91" i="27"/>
  <c r="E62" i="27"/>
  <c r="E242" i="27"/>
  <c r="E349" i="27"/>
  <c r="E367" i="27"/>
  <c r="E339" i="27"/>
  <c r="E426" i="27"/>
  <c r="E316" i="27"/>
  <c r="E12" i="27"/>
  <c r="E342" i="27"/>
  <c r="E150" i="27"/>
  <c r="E144" i="27"/>
  <c r="E207" i="27"/>
  <c r="E126" i="27"/>
  <c r="E430" i="27"/>
  <c r="E125" i="27"/>
  <c r="E229" i="27"/>
  <c r="E366" i="27"/>
  <c r="E401" i="27"/>
  <c r="E214" i="27"/>
  <c r="E428" i="27"/>
  <c r="E28" i="27"/>
  <c r="E434" i="27"/>
  <c r="E38" i="27"/>
  <c r="E216" i="27"/>
  <c r="E286" i="27"/>
  <c r="E432" i="27"/>
  <c r="E386" i="27"/>
  <c r="E161" i="27"/>
  <c r="E332" i="27"/>
  <c r="E119" i="27"/>
  <c r="E372" i="27"/>
  <c r="E350" i="27"/>
  <c r="E86" i="27"/>
  <c r="E223" i="27"/>
  <c r="E318" i="27"/>
  <c r="E317" i="27"/>
  <c r="E85" i="27"/>
  <c r="E347" i="27"/>
  <c r="E224" i="27"/>
  <c r="E114" i="27"/>
  <c r="E313" i="27"/>
  <c r="E160" i="27"/>
  <c r="E289" i="27"/>
  <c r="E185" i="27"/>
  <c r="E200" i="27"/>
  <c r="E408" i="27"/>
  <c r="E437" i="27"/>
  <c r="E379" i="27"/>
  <c r="E384" i="27"/>
  <c r="E95" i="27"/>
  <c r="E97" i="27"/>
  <c r="E373" i="27"/>
  <c r="E375" i="27"/>
  <c r="E181" i="27"/>
  <c r="E204" i="27"/>
  <c r="E110" i="27"/>
  <c r="E270" i="27"/>
  <c r="E425" i="27"/>
  <c r="E61" i="27"/>
  <c r="E35" i="27"/>
  <c r="E325" i="27"/>
  <c r="E299" i="27"/>
  <c r="E396" i="27"/>
  <c r="E429" i="27"/>
  <c r="E326" i="27"/>
  <c r="E331" i="27"/>
  <c r="E240" i="27"/>
  <c r="E108" i="27"/>
  <c r="E431" i="27"/>
  <c r="E141" i="27"/>
  <c r="E328" i="27"/>
  <c r="E92" i="27"/>
  <c r="E231" i="27"/>
  <c r="E357" i="27"/>
  <c r="E340" i="27"/>
  <c r="E70" i="27"/>
  <c r="E433" i="27"/>
  <c r="E221" i="27"/>
  <c r="E250" i="27"/>
  <c r="E37" i="27"/>
  <c r="E388" i="27"/>
  <c r="E274" i="27"/>
  <c r="E352" i="27"/>
  <c r="E380" i="27"/>
  <c r="E418" i="27"/>
  <c r="E199" i="27"/>
  <c r="E392" i="27"/>
  <c r="E169" i="27"/>
  <c r="E369" i="27"/>
  <c r="E362" i="27"/>
  <c r="E257" i="27"/>
  <c r="E102" i="27"/>
  <c r="E56" i="27"/>
  <c r="E50" i="27"/>
  <c r="E105" i="27"/>
  <c r="E311" i="27"/>
  <c r="E222" i="27"/>
  <c r="E121" i="27"/>
  <c r="E230" i="27"/>
  <c r="E71" i="27"/>
  <c r="E42" i="27"/>
  <c r="E16" i="27"/>
  <c r="E293" i="27"/>
  <c r="E46" i="27"/>
  <c r="E139" i="27"/>
  <c r="E324" i="27"/>
  <c r="E113" i="27"/>
  <c r="E180" i="27"/>
  <c r="E220" i="27"/>
  <c r="E99" i="27"/>
  <c r="E351" i="27"/>
  <c r="E18" i="27"/>
  <c r="E147" i="27"/>
  <c r="E40" i="27"/>
  <c r="E51" i="27"/>
  <c r="E227" i="27"/>
  <c r="E358" i="27"/>
  <c r="E19" i="27"/>
  <c r="E383" i="27"/>
  <c r="E69" i="27"/>
  <c r="E10" i="27"/>
  <c r="E34" i="27"/>
  <c r="E243" i="27"/>
  <c r="E208" i="27"/>
  <c r="E414" i="27"/>
  <c r="E83" i="27"/>
  <c r="E219" i="27"/>
  <c r="E4" i="27"/>
  <c r="E146" i="27"/>
  <c r="E81" i="27"/>
  <c r="E211" i="27"/>
  <c r="E171" i="27"/>
  <c r="E193" i="27"/>
  <c r="E197" i="27"/>
  <c r="E399" i="27"/>
  <c r="E338" i="27"/>
  <c r="E101" i="27"/>
  <c r="E436" i="27"/>
  <c r="E172" i="27"/>
  <c r="E285" i="27"/>
  <c r="E145" i="27"/>
  <c r="E259" i="27"/>
  <c r="E192" i="27"/>
  <c r="E334" i="27"/>
  <c r="E398" i="27"/>
  <c r="E78" i="27"/>
  <c r="E309" i="27"/>
  <c r="E96" i="27"/>
  <c r="E248" i="27"/>
  <c r="E65" i="27"/>
  <c r="E47" i="27"/>
  <c r="E48" i="27"/>
  <c r="E382" i="27"/>
  <c r="E417" i="27"/>
  <c r="E156" i="27"/>
  <c r="E17" i="27"/>
  <c r="E237" i="27"/>
  <c r="E111" i="27"/>
  <c r="E292" i="27"/>
  <c r="E345" i="27"/>
  <c r="E32" i="27"/>
  <c r="E290" i="27"/>
  <c r="E168" i="27"/>
  <c r="E59" i="27"/>
  <c r="E260" i="27"/>
  <c r="E241" i="27"/>
  <c r="E36" i="27"/>
  <c r="E135" i="27"/>
  <c r="E244" i="27"/>
  <c r="E27" i="27"/>
  <c r="E184" i="27"/>
  <c r="E132" i="27"/>
  <c r="E335" i="27"/>
  <c r="E173" i="27"/>
  <c r="E107" i="27"/>
  <c r="E58" i="27"/>
  <c r="E118" i="27"/>
  <c r="E178" i="27"/>
  <c r="E94" i="27"/>
  <c r="E170" i="27"/>
  <c r="E149" i="27"/>
  <c r="E405" i="27"/>
  <c r="E310" i="27"/>
  <c r="E421" i="27"/>
  <c r="E131" i="27"/>
  <c r="E63" i="27"/>
  <c r="E127" i="27"/>
  <c r="E385" i="27"/>
  <c r="E236" i="27"/>
  <c r="E177" i="27"/>
  <c r="E361" i="27"/>
  <c r="E5" i="27"/>
  <c r="E57" i="27"/>
  <c r="E416" i="27"/>
  <c r="E441" i="27"/>
  <c r="E14" i="27"/>
  <c r="E45" i="27"/>
  <c r="E72" i="27"/>
  <c r="E74" i="27"/>
  <c r="E283" i="27"/>
  <c r="E182" i="27"/>
  <c r="E235" i="27"/>
  <c r="E103" i="27"/>
  <c r="E143" i="27"/>
  <c r="E247" i="27"/>
  <c r="E60" i="27"/>
  <c r="E175" i="27"/>
  <c r="E6" i="27"/>
  <c r="E443" i="27" l="1"/>
  <c r="B21" i="25" l="1"/>
  <c r="C21" i="25"/>
  <c r="F21" i="25"/>
  <c r="F31" i="25" s="1"/>
  <c r="F56" i="25" s="1"/>
  <c r="C27" i="25"/>
  <c r="D27" i="25"/>
  <c r="D39" i="25"/>
  <c r="C39" i="25"/>
  <c r="C31" i="25" l="1"/>
  <c r="D31" i="25"/>
  <c r="G21" i="25"/>
  <c r="B39" i="25"/>
  <c r="G39" i="25" s="1"/>
  <c r="B27" i="25"/>
  <c r="G27" i="25" s="1"/>
  <c r="G31" i="25" l="1"/>
  <c r="B31" i="25"/>
  <c r="C32" i="25" l="1"/>
  <c r="E32" i="25"/>
  <c r="D32" i="25"/>
  <c r="G19" i="19" l="1"/>
  <c r="F19" i="19"/>
  <c r="F40" i="19"/>
  <c r="F41" i="23"/>
  <c r="F66" i="16" l="1"/>
  <c r="G66" i="16"/>
  <c r="G81" i="32" l="1"/>
  <c r="F81" i="32"/>
  <c r="G82" i="22" l="1"/>
  <c r="F82" i="22"/>
  <c r="F58" i="18" l="1"/>
  <c r="G58" i="18"/>
  <c r="F40" i="15"/>
  <c r="G40" i="15"/>
  <c r="F45" i="21"/>
  <c r="G45" i="21"/>
  <c r="G39" i="20"/>
  <c r="F39" i="20"/>
  <c r="G52" i="13"/>
  <c r="F52" i="13"/>
  <c r="G56" i="23"/>
  <c r="F56" i="23"/>
  <c r="F55" i="11" l="1"/>
  <c r="G55" i="11"/>
  <c r="F58" i="14"/>
  <c r="G58" i="14"/>
  <c r="F48" i="8" l="1"/>
  <c r="G48" i="8"/>
  <c r="F50" i="9"/>
  <c r="G50" i="9"/>
  <c r="G59" i="10"/>
  <c r="F59" i="10"/>
  <c r="G54" i="7" l="1"/>
  <c r="F54" i="7"/>
  <c r="G59" i="19" l="1"/>
  <c r="F59" i="19"/>
  <c r="F51" i="23" l="1"/>
  <c r="F52" i="19" l="1"/>
  <c r="G52" i="19"/>
  <c r="G24" i="22" l="1"/>
  <c r="F24" i="22"/>
  <c r="F41" i="22" l="1"/>
  <c r="G41" i="22"/>
  <c r="G13" i="15"/>
  <c r="F13" i="15"/>
  <c r="G14" i="15" l="1"/>
  <c r="F14" i="15"/>
  <c r="F35" i="11" l="1"/>
  <c r="F14" i="9" l="1"/>
  <c r="G15" i="21"/>
  <c r="F15" i="21"/>
  <c r="E21" i="8" l="1"/>
  <c r="F21" i="8" s="1"/>
  <c r="E40" i="8"/>
  <c r="G40" i="8" s="1"/>
  <c r="H40" i="8" s="1"/>
  <c r="E47" i="10"/>
  <c r="F35" i="10"/>
  <c r="G35" i="10"/>
  <c r="G21" i="8"/>
  <c r="H21" i="8" s="1"/>
  <c r="G10" i="18"/>
  <c r="H10" i="18" s="1"/>
  <c r="F10" i="18"/>
  <c r="G29" i="13"/>
  <c r="F29" i="13"/>
  <c r="F28" i="13"/>
  <c r="G28" i="13"/>
  <c r="F18" i="16"/>
  <c r="G16" i="7"/>
  <c r="F16" i="7"/>
  <c r="F21" i="18"/>
  <c r="G21" i="18"/>
  <c r="H21" i="18" s="1"/>
  <c r="E19" i="15"/>
  <c r="G17" i="15"/>
  <c r="F17" i="15"/>
  <c r="F23" i="18"/>
  <c r="G23" i="18"/>
  <c r="H23" i="18" s="1"/>
  <c r="F39" i="19"/>
  <c r="G39" i="19"/>
  <c r="F15" i="19"/>
  <c r="G15" i="19"/>
  <c r="F8" i="7"/>
  <c r="G8" i="7"/>
  <c r="E11" i="7"/>
  <c r="G11" i="7" s="1"/>
  <c r="H11" i="7" s="1"/>
  <c r="E14" i="20"/>
  <c r="G12" i="20"/>
  <c r="F12" i="20"/>
  <c r="F35" i="7"/>
  <c r="G35" i="7"/>
  <c r="G11" i="8"/>
  <c r="F11" i="8"/>
  <c r="F10" i="22"/>
  <c r="G10" i="22"/>
  <c r="F75" i="22"/>
  <c r="G75" i="22"/>
  <c r="G49" i="10"/>
  <c r="E51" i="10"/>
  <c r="F49" i="10"/>
  <c r="F39" i="18"/>
  <c r="G39" i="18"/>
  <c r="G40" i="23"/>
  <c r="F40" i="23"/>
  <c r="F12" i="14"/>
  <c r="E14" i="14"/>
  <c r="G12" i="14"/>
  <c r="G35" i="22"/>
  <c r="F35" i="22"/>
  <c r="G23" i="22"/>
  <c r="F23" i="22"/>
  <c r="G14" i="7"/>
  <c r="F14" i="7"/>
  <c r="G18" i="15"/>
  <c r="F18" i="15"/>
  <c r="G11" i="21"/>
  <c r="F11" i="21"/>
  <c r="F21" i="14"/>
  <c r="F38" i="22"/>
  <c r="G38" i="22"/>
  <c r="F32" i="14"/>
  <c r="G50" i="22"/>
  <c r="F50" i="22"/>
  <c r="F22" i="10"/>
  <c r="G22" i="10"/>
  <c r="E35" i="18"/>
  <c r="G33" i="18"/>
  <c r="F33" i="18"/>
  <c r="F47" i="23"/>
  <c r="G47" i="23"/>
  <c r="F17" i="23"/>
  <c r="G17" i="23"/>
  <c r="G13" i="8"/>
  <c r="F13" i="8"/>
  <c r="G15" i="23"/>
  <c r="F15" i="23"/>
  <c r="G21" i="20"/>
  <c r="F21" i="20"/>
  <c r="F19" i="7"/>
  <c r="G19" i="7"/>
  <c r="E46" i="9"/>
  <c r="F27" i="14"/>
  <c r="G46" i="22"/>
  <c r="F46" i="22"/>
  <c r="F36" i="22"/>
  <c r="G36" i="22"/>
  <c r="F39" i="7"/>
  <c r="G39" i="7"/>
  <c r="F24" i="21"/>
  <c r="G24" i="21"/>
  <c r="E26" i="21"/>
  <c r="G8" i="16"/>
  <c r="F8" i="16"/>
  <c r="E11" i="16"/>
  <c r="F31" i="14"/>
  <c r="E49" i="14"/>
  <c r="G49" i="14" s="1"/>
  <c r="F49" i="22"/>
  <c r="G49" i="22"/>
  <c r="F37" i="11"/>
  <c r="F17" i="19"/>
  <c r="G17" i="19"/>
  <c r="F60" i="22"/>
  <c r="G60" i="22"/>
  <c r="F33" i="11"/>
  <c r="F18" i="11"/>
  <c r="F20" i="11" s="1"/>
  <c r="E20" i="11"/>
  <c r="F13" i="20"/>
  <c r="G13" i="20"/>
  <c r="F34" i="11"/>
  <c r="G14" i="11"/>
  <c r="F14" i="11"/>
  <c r="F29" i="19"/>
  <c r="E21" i="19"/>
  <c r="G21" i="19" s="1"/>
  <c r="H21" i="19" s="1"/>
  <c r="F12" i="19"/>
  <c r="G12" i="19"/>
  <c r="G25" i="20"/>
  <c r="F25" i="20"/>
  <c r="F19" i="20"/>
  <c r="G19" i="20"/>
  <c r="G10" i="8"/>
  <c r="F10" i="8"/>
  <c r="G15" i="7"/>
  <c r="F15" i="7"/>
  <c r="F14" i="16"/>
  <c r="G34" i="21"/>
  <c r="F34" i="21"/>
  <c r="G8" i="21"/>
  <c r="F8" i="21"/>
  <c r="E16" i="21"/>
  <c r="G31" i="9"/>
  <c r="F31" i="9"/>
  <c r="G32" i="20"/>
  <c r="F32" i="20"/>
  <c r="G19" i="9"/>
  <c r="F19" i="9"/>
  <c r="F27" i="19"/>
  <c r="F70" i="22"/>
  <c r="G70" i="22"/>
  <c r="E19" i="16"/>
  <c r="F13" i="16"/>
  <c r="F29" i="11"/>
  <c r="F34" i="10"/>
  <c r="G34" i="10"/>
  <c r="E36" i="10"/>
  <c r="G51" i="19"/>
  <c r="F51" i="19"/>
  <c r="E53" i="19"/>
  <c r="E30" i="19"/>
  <c r="F23" i="19"/>
  <c r="G28" i="10"/>
  <c r="E32" i="10"/>
  <c r="F28" i="10"/>
  <c r="F30" i="23"/>
  <c r="G30" i="23"/>
  <c r="F21" i="15"/>
  <c r="G21" i="15"/>
  <c r="H21" i="15" s="1"/>
  <c r="F10" i="21"/>
  <c r="G10" i="21"/>
  <c r="G43" i="7"/>
  <c r="F43" i="7"/>
  <c r="G29" i="21"/>
  <c r="F29" i="21"/>
  <c r="F9" i="7"/>
  <c r="G9" i="7"/>
  <c r="G41" i="11"/>
  <c r="H41" i="11" s="1"/>
  <c r="F41" i="11"/>
  <c r="G18" i="19"/>
  <c r="F18" i="19"/>
  <c r="F61" i="22"/>
  <c r="G61" i="22"/>
  <c r="G28" i="9"/>
  <c r="E35" i="9"/>
  <c r="F28" i="9"/>
  <c r="F26" i="23"/>
  <c r="G26" i="23"/>
  <c r="G45" i="11"/>
  <c r="F45" i="11"/>
  <c r="G63" i="22"/>
  <c r="F63" i="22"/>
  <c r="F23" i="9"/>
  <c r="G23" i="9"/>
  <c r="F14" i="19"/>
  <c r="G14" i="19"/>
  <c r="G12" i="10"/>
  <c r="F12" i="10"/>
  <c r="F8" i="8"/>
  <c r="E14" i="8"/>
  <c r="G8" i="8"/>
  <c r="F20" i="9"/>
  <c r="G20" i="9"/>
  <c r="F32" i="19"/>
  <c r="E41" i="19"/>
  <c r="G32" i="19"/>
  <c r="F14" i="13"/>
  <c r="G14" i="13"/>
  <c r="F13" i="9"/>
  <c r="G13" i="9"/>
  <c r="F33" i="19"/>
  <c r="G33" i="19"/>
  <c r="F24" i="19"/>
  <c r="G67" i="22"/>
  <c r="F67" i="22"/>
  <c r="E71" i="22"/>
  <c r="F39" i="23"/>
  <c r="G39" i="23"/>
  <c r="E30" i="21"/>
  <c r="F28" i="21"/>
  <c r="G28" i="21"/>
  <c r="G27" i="7"/>
  <c r="F27" i="7"/>
  <c r="G18" i="10"/>
  <c r="F18" i="10"/>
  <c r="F16" i="16"/>
  <c r="F73" i="22"/>
  <c r="E76" i="22"/>
  <c r="G73" i="22"/>
  <c r="G9" i="22"/>
  <c r="F9" i="22"/>
  <c r="G18" i="9"/>
  <c r="F18" i="9"/>
  <c r="F28" i="19"/>
  <c r="G74" i="22"/>
  <c r="F74" i="22"/>
  <c r="F18" i="23"/>
  <c r="G18" i="23"/>
  <c r="G21" i="21"/>
  <c r="F21" i="21"/>
  <c r="G33" i="13"/>
  <c r="F33" i="13"/>
  <c r="E35" i="13"/>
  <c r="F12" i="11"/>
  <c r="E16" i="11"/>
  <c r="G12" i="11"/>
  <c r="E10" i="20"/>
  <c r="F8" i="20"/>
  <c r="G8" i="20"/>
  <c r="G45" i="7"/>
  <c r="F45" i="7"/>
  <c r="E19" i="10"/>
  <c r="F17" i="10"/>
  <c r="G17" i="10"/>
  <c r="F15" i="16"/>
  <c r="G33" i="21"/>
  <c r="F33" i="21"/>
  <c r="G33" i="22"/>
  <c r="F33" i="22"/>
  <c r="F30" i="10"/>
  <c r="G30" i="10"/>
  <c r="F11" i="22"/>
  <c r="G11" i="22"/>
  <c r="G28" i="7"/>
  <c r="F28" i="7"/>
  <c r="G8" i="10"/>
  <c r="F8" i="10"/>
  <c r="E13" i="10"/>
  <c r="F38" i="19"/>
  <c r="G38" i="19"/>
  <c r="F14" i="23"/>
  <c r="G14" i="23"/>
  <c r="E39" i="11"/>
  <c r="F22" i="11"/>
  <c r="G44" i="11"/>
  <c r="F44" i="11"/>
  <c r="E55" i="22"/>
  <c r="F44" i="22"/>
  <c r="G44" i="22"/>
  <c r="G36" i="7"/>
  <c r="F36" i="7"/>
  <c r="F10" i="16"/>
  <c r="G10" i="16"/>
  <c r="G37" i="21"/>
  <c r="F37" i="21"/>
  <c r="F8" i="15"/>
  <c r="G8" i="15"/>
  <c r="H8" i="15" s="1"/>
  <c r="G10" i="10"/>
  <c r="F10" i="10"/>
  <c r="E49" i="19"/>
  <c r="G43" i="19"/>
  <c r="F43" i="19"/>
  <c r="E32" i="7"/>
  <c r="F24" i="7"/>
  <c r="G24" i="7"/>
  <c r="G20" i="7"/>
  <c r="F20" i="7"/>
  <c r="F15" i="13"/>
  <c r="G15" i="13"/>
  <c r="G27" i="23"/>
  <c r="F27" i="23"/>
  <c r="F30" i="7"/>
  <c r="G30" i="7"/>
  <c r="G23" i="10"/>
  <c r="F23" i="10"/>
  <c r="E32" i="16"/>
  <c r="G28" i="23"/>
  <c r="F28" i="23"/>
  <c r="G35" i="21"/>
  <c r="F35" i="21"/>
  <c r="E22" i="21"/>
  <c r="G18" i="21"/>
  <c r="F18" i="21"/>
  <c r="F25" i="14"/>
  <c r="G48" i="22"/>
  <c r="F48" i="22"/>
  <c r="G12" i="9"/>
  <c r="F12" i="9"/>
  <c r="G29" i="10"/>
  <c r="F29" i="10"/>
  <c r="G12" i="22"/>
  <c r="F12" i="22"/>
  <c r="E47" i="7"/>
  <c r="G42" i="7"/>
  <c r="F42" i="7"/>
  <c r="E48" i="23"/>
  <c r="F46" i="23"/>
  <c r="G46" i="23"/>
  <c r="F21" i="10"/>
  <c r="G21" i="10"/>
  <c r="E26" i="10"/>
  <c r="F17" i="16"/>
  <c r="F8" i="22"/>
  <c r="G8" i="22"/>
  <c r="E15" i="15"/>
  <c r="F12" i="15"/>
  <c r="G12" i="15"/>
  <c r="F47" i="32"/>
  <c r="G47" i="32"/>
  <c r="F41" i="32"/>
  <c r="G41" i="32"/>
  <c r="F11" i="32"/>
  <c r="G11" i="32"/>
  <c r="G57" i="32"/>
  <c r="F57" i="32"/>
  <c r="G45" i="32"/>
  <c r="F45" i="32"/>
  <c r="G62" i="32"/>
  <c r="F62" i="32"/>
  <c r="F70" i="32"/>
  <c r="G70" i="32"/>
  <c r="F35" i="32"/>
  <c r="G35" i="32"/>
  <c r="F10" i="32"/>
  <c r="G10" i="32"/>
  <c r="G16" i="32"/>
  <c r="F16" i="32"/>
  <c r="E59" i="32"/>
  <c r="F52" i="32"/>
  <c r="G52" i="32"/>
  <c r="E18" i="32"/>
  <c r="G15" i="32"/>
  <c r="F15" i="32"/>
  <c r="F54" i="32"/>
  <c r="G54" i="32"/>
  <c r="E42" i="32"/>
  <c r="G33" i="32"/>
  <c r="F33" i="32"/>
  <c r="F55" i="32"/>
  <c r="G55" i="32"/>
  <c r="G34" i="32"/>
  <c r="F34" i="32"/>
  <c r="E68" i="32"/>
  <c r="G68" i="32" s="1"/>
  <c r="F66" i="32"/>
  <c r="F68" i="32" s="1"/>
  <c r="G66" i="32"/>
  <c r="G49" i="32"/>
  <c r="F49" i="32"/>
  <c r="F27" i="32"/>
  <c r="G27" i="32"/>
  <c r="F26" i="13"/>
  <c r="E31" i="13"/>
  <c r="G26" i="13"/>
  <c r="F22" i="32"/>
  <c r="G22" i="32"/>
  <c r="F23" i="32"/>
  <c r="G23" i="32"/>
  <c r="F9" i="8"/>
  <c r="G9" i="8"/>
  <c r="G35" i="16"/>
  <c r="F35" i="16"/>
  <c r="E53" i="16"/>
  <c r="E42" i="16"/>
  <c r="G34" i="16"/>
  <c r="F34" i="16"/>
  <c r="F8" i="14"/>
  <c r="G8" i="14"/>
  <c r="H8" i="14" s="1"/>
  <c r="F56" i="16"/>
  <c r="F14" i="22"/>
  <c r="G14" i="22"/>
  <c r="H47" i="10"/>
  <c r="F47" i="10"/>
  <c r="G30" i="9"/>
  <c r="F30" i="9"/>
  <c r="F25" i="10"/>
  <c r="G25" i="10"/>
  <c r="G22" i="22"/>
  <c r="F22" i="22"/>
  <c r="G46" i="7"/>
  <c r="F46" i="7"/>
  <c r="F29" i="23"/>
  <c r="G29" i="23"/>
  <c r="G62" i="22"/>
  <c r="F62" i="22"/>
  <c r="F21" i="22"/>
  <c r="E25" i="22"/>
  <c r="G21" i="22"/>
  <c r="F36" i="23"/>
  <c r="G36" i="23"/>
  <c r="F37" i="23"/>
  <c r="G37" i="23"/>
  <c r="E10" i="11"/>
  <c r="F8" i="11"/>
  <c r="G8" i="11"/>
  <c r="G41" i="13"/>
  <c r="H41" i="13" s="1"/>
  <c r="F41" i="13"/>
  <c r="F28" i="22"/>
  <c r="G28" i="22"/>
  <c r="F20" i="14"/>
  <c r="F39" i="22"/>
  <c r="G39" i="22"/>
  <c r="G29" i="9"/>
  <c r="F29" i="9"/>
  <c r="G31" i="10"/>
  <c r="F31" i="10"/>
  <c r="F18" i="18"/>
  <c r="F34" i="23"/>
  <c r="G34" i="23"/>
  <c r="F27" i="13"/>
  <c r="G27" i="13"/>
  <c r="E33" i="8"/>
  <c r="F10" i="14"/>
  <c r="G10" i="14"/>
  <c r="H10" i="14" s="1"/>
  <c r="F34" i="22"/>
  <c r="G34" i="22"/>
  <c r="F17" i="18"/>
  <c r="G50" i="10"/>
  <c r="F50" i="10"/>
  <c r="E46" i="18"/>
  <c r="G45" i="18"/>
  <c r="F45" i="18"/>
  <c r="G25" i="18"/>
  <c r="H25" i="18" s="1"/>
  <c r="F25" i="18"/>
  <c r="F38" i="23"/>
  <c r="G38" i="23"/>
  <c r="F21" i="9"/>
  <c r="G21" i="9"/>
  <c r="F25" i="19"/>
  <c r="G68" i="22"/>
  <c r="F68" i="22"/>
  <c r="G13" i="11"/>
  <c r="F13" i="11"/>
  <c r="G9" i="20"/>
  <c r="F9" i="20"/>
  <c r="F22" i="9"/>
  <c r="G22" i="9"/>
  <c r="F28" i="11"/>
  <c r="E28" i="20"/>
  <c r="F24" i="20"/>
  <c r="G24" i="20"/>
  <c r="E26" i="9"/>
  <c r="G17" i="9"/>
  <c r="F17" i="9"/>
  <c r="F24" i="8"/>
  <c r="G24" i="8"/>
  <c r="G44" i="13"/>
  <c r="F44" i="13"/>
  <c r="E42" i="22"/>
  <c r="F32" i="22"/>
  <c r="G32" i="22"/>
  <c r="F31" i="20"/>
  <c r="G31" i="20"/>
  <c r="F23" i="11"/>
  <c r="F45" i="22"/>
  <c r="G45" i="22"/>
  <c r="G16" i="20"/>
  <c r="E22" i="20"/>
  <c r="F16" i="20"/>
  <c r="F24" i="11"/>
  <c r="G20" i="20"/>
  <c r="F20" i="20"/>
  <c r="F48" i="18"/>
  <c r="G48" i="18"/>
  <c r="F11" i="9"/>
  <c r="G11" i="9"/>
  <c r="G35" i="19"/>
  <c r="F35" i="19"/>
  <c r="E11" i="23"/>
  <c r="F8" i="23"/>
  <c r="F17" i="13"/>
  <c r="G17" i="13"/>
  <c r="F27" i="11"/>
  <c r="G17" i="20"/>
  <c r="F17" i="20"/>
  <c r="G25" i="8"/>
  <c r="F25" i="8"/>
  <c r="F32" i="9"/>
  <c r="G32" i="9"/>
  <c r="F33" i="20"/>
  <c r="G33" i="20"/>
  <c r="F43" i="11"/>
  <c r="E46" i="11"/>
  <c r="G43" i="11"/>
  <c r="F17" i="14"/>
  <c r="G40" i="22"/>
  <c r="F40" i="22"/>
  <c r="G31" i="23"/>
  <c r="F31" i="23"/>
  <c r="F58" i="22"/>
  <c r="G58" i="22"/>
  <c r="F31" i="11"/>
  <c r="G8" i="9"/>
  <c r="E15" i="9"/>
  <c r="F8" i="9"/>
  <c r="F32" i="11"/>
  <c r="G13" i="19"/>
  <c r="F13" i="19"/>
  <c r="F54" i="22"/>
  <c r="G54" i="22"/>
  <c r="G47" i="22"/>
  <c r="F47" i="22"/>
  <c r="F9" i="10"/>
  <c r="G9" i="10"/>
  <c r="G15" i="10"/>
  <c r="H15" i="10" s="1"/>
  <c r="F15" i="10"/>
  <c r="F45" i="19"/>
  <c r="G45" i="19"/>
  <c r="G20" i="23"/>
  <c r="F20" i="23"/>
  <c r="G13" i="14"/>
  <c r="F13" i="14"/>
  <c r="F36" i="11"/>
  <c r="F16" i="19"/>
  <c r="G16" i="19"/>
  <c r="F59" i="22"/>
  <c r="G59" i="22"/>
  <c r="F25" i="7"/>
  <c r="G25" i="7"/>
  <c r="E25" i="15"/>
  <c r="F23" i="15"/>
  <c r="G23" i="15"/>
  <c r="F9" i="21"/>
  <c r="G9" i="21"/>
  <c r="F24" i="14"/>
  <c r="E29" i="14"/>
  <c r="F33" i="14"/>
  <c r="F51" i="22"/>
  <c r="G51" i="22"/>
  <c r="F28" i="14"/>
  <c r="G10" i="15"/>
  <c r="H10" i="15" s="1"/>
  <c r="F10" i="15"/>
  <c r="F57" i="22"/>
  <c r="E65" i="22"/>
  <c r="G57" i="22"/>
  <c r="F12" i="18"/>
  <c r="G12" i="18"/>
  <c r="H12" i="18" s="1"/>
  <c r="F26" i="19"/>
  <c r="G69" i="22"/>
  <c r="F69" i="22"/>
  <c r="F9" i="9"/>
  <c r="G9" i="9"/>
  <c r="G37" i="19"/>
  <c r="F37" i="19"/>
  <c r="E22" i="23"/>
  <c r="F13" i="23"/>
  <c r="G13" i="23"/>
  <c r="G33" i="9"/>
  <c r="F33" i="9"/>
  <c r="F47" i="14"/>
  <c r="F34" i="20"/>
  <c r="G34" i="20"/>
  <c r="G27" i="20"/>
  <c r="F27" i="20"/>
  <c r="G26" i="20"/>
  <c r="F26" i="20"/>
  <c r="G37" i="18"/>
  <c r="H37" i="18" s="1"/>
  <c r="F37" i="18"/>
  <c r="G24" i="9"/>
  <c r="F24" i="9"/>
  <c r="G35" i="23"/>
  <c r="F35" i="23"/>
  <c r="F64" i="22"/>
  <c r="G64" i="22"/>
  <c r="G30" i="20"/>
  <c r="F30" i="20"/>
  <c r="E35" i="20"/>
  <c r="F25" i="11"/>
  <c r="F21" i="13"/>
  <c r="E24" i="13"/>
  <c r="G21" i="13"/>
  <c r="F13" i="22"/>
  <c r="G13" i="22"/>
  <c r="F38" i="21"/>
  <c r="G38" i="21"/>
  <c r="F19" i="21"/>
  <c r="G19" i="21"/>
  <c r="G37" i="7"/>
  <c r="F37" i="7"/>
  <c r="G20" i="21"/>
  <c r="F20" i="21"/>
  <c r="F12" i="21"/>
  <c r="G12" i="21"/>
  <c r="E39" i="13"/>
  <c r="G39" i="13" s="1"/>
  <c r="H39" i="13" s="1"/>
  <c r="F37" i="13"/>
  <c r="F39" i="13" s="1"/>
  <c r="G37" i="13"/>
  <c r="E30" i="22"/>
  <c r="F27" i="22"/>
  <c r="G27" i="22"/>
  <c r="G38" i="7"/>
  <c r="F38" i="7"/>
  <c r="G10" i="9"/>
  <c r="F10" i="9"/>
  <c r="G36" i="19"/>
  <c r="F36" i="19"/>
  <c r="G9" i="23"/>
  <c r="F9" i="23"/>
  <c r="F17" i="7"/>
  <c r="G17" i="7"/>
  <c r="G9" i="13"/>
  <c r="F9" i="13"/>
  <c r="F47" i="19"/>
  <c r="G47" i="19"/>
  <c r="G44" i="23"/>
  <c r="H42" i="23" s="1"/>
  <c r="F24" i="23"/>
  <c r="G24" i="23"/>
  <c r="E40" i="7"/>
  <c r="G34" i="7"/>
  <c r="F34" i="7"/>
  <c r="G24" i="15"/>
  <c r="F24" i="15"/>
  <c r="F14" i="21"/>
  <c r="G14" i="21"/>
  <c r="F34" i="19"/>
  <c r="G34" i="19"/>
  <c r="E36" i="15"/>
  <c r="E22" i="14"/>
  <c r="F16" i="14"/>
  <c r="G37" i="22"/>
  <c r="F37" i="22"/>
  <c r="G8" i="13"/>
  <c r="E11" i="13"/>
  <c r="F8" i="13"/>
  <c r="F46" i="19"/>
  <c r="G46" i="19"/>
  <c r="G21" i="23"/>
  <c r="F21" i="23"/>
  <c r="G12" i="8"/>
  <c r="F12" i="8"/>
  <c r="F23" i="13"/>
  <c r="G23" i="13"/>
  <c r="E19" i="18"/>
  <c r="F16" i="18"/>
  <c r="G33" i="23"/>
  <c r="F33" i="23"/>
  <c r="F44" i="7"/>
  <c r="G44" i="7"/>
  <c r="F32" i="21"/>
  <c r="E39" i="21"/>
  <c r="G32" i="21"/>
  <c r="F53" i="22"/>
  <c r="G53" i="22"/>
  <c r="F29" i="7"/>
  <c r="G29" i="7"/>
  <c r="G13" i="21"/>
  <c r="F13" i="21"/>
  <c r="F30" i="11"/>
  <c r="F11" i="10"/>
  <c r="G11" i="10"/>
  <c r="F16" i="23"/>
  <c r="G16" i="23"/>
  <c r="G13" i="7"/>
  <c r="F13" i="7"/>
  <c r="E22" i="7"/>
  <c r="F9" i="16"/>
  <c r="G9" i="16"/>
  <c r="G36" i="21"/>
  <c r="F36" i="21"/>
  <c r="F52" i="22"/>
  <c r="G52" i="22"/>
  <c r="G24" i="10"/>
  <c r="F24" i="10"/>
  <c r="F21" i="16"/>
  <c r="G21" i="16"/>
  <c r="H21" i="16" s="1"/>
  <c r="G16" i="22"/>
  <c r="F16" i="22"/>
  <c r="F9" i="19"/>
  <c r="G9" i="19"/>
  <c r="F21" i="7"/>
  <c r="F16" i="13"/>
  <c r="G16" i="13"/>
  <c r="G15" i="22"/>
  <c r="F15" i="22"/>
  <c r="G44" i="19"/>
  <c r="F44" i="19"/>
  <c r="G19" i="23"/>
  <c r="F19" i="23"/>
  <c r="F26" i="14"/>
  <c r="F26" i="11"/>
  <c r="F18" i="20"/>
  <c r="G18" i="20"/>
  <c r="F26" i="7"/>
  <c r="G26" i="7"/>
  <c r="G22" i="13"/>
  <c r="F22" i="13"/>
  <c r="G14" i="18"/>
  <c r="H14" i="18" s="1"/>
  <c r="F14" i="18"/>
  <c r="F32" i="23"/>
  <c r="G32" i="23"/>
  <c r="F23" i="8"/>
  <c r="G23" i="8"/>
  <c r="E27" i="8"/>
  <c r="E45" i="13"/>
  <c r="F43" i="13"/>
  <c r="G43" i="13"/>
  <c r="G29" i="22"/>
  <c r="F29" i="22"/>
  <c r="F18" i="7"/>
  <c r="G18" i="7"/>
  <c r="G13" i="13"/>
  <c r="E19" i="13"/>
  <c r="F13" i="13"/>
  <c r="G48" i="19"/>
  <c r="F48" i="19"/>
  <c r="G25" i="23"/>
  <c r="F25" i="23"/>
  <c r="F9" i="32"/>
  <c r="G9" i="32"/>
  <c r="F38" i="32"/>
  <c r="G38" i="32"/>
  <c r="G61" i="32"/>
  <c r="E64" i="32"/>
  <c r="F61" i="32"/>
  <c r="G56" i="32"/>
  <c r="F56" i="32"/>
  <c r="G46" i="32"/>
  <c r="F46" i="32"/>
  <c r="G40" i="32"/>
  <c r="F40" i="32"/>
  <c r="G44" i="32"/>
  <c r="F44" i="32"/>
  <c r="E50" i="32"/>
  <c r="F53" i="32"/>
  <c r="G53" i="32"/>
  <c r="G36" i="32"/>
  <c r="F36" i="32"/>
  <c r="F58" i="32"/>
  <c r="G58" i="32"/>
  <c r="G17" i="32"/>
  <c r="F17" i="32"/>
  <c r="F39" i="32"/>
  <c r="G39" i="32"/>
  <c r="F48" i="32"/>
  <c r="G48" i="32"/>
  <c r="G37" i="32"/>
  <c r="F37" i="32"/>
  <c r="F63" i="32"/>
  <c r="G63" i="32"/>
  <c r="G8" i="32"/>
  <c r="E13" i="32"/>
  <c r="G13" i="32" s="1"/>
  <c r="H13" i="32" s="1"/>
  <c r="F8" i="32"/>
  <c r="F13" i="32" s="1"/>
  <c r="F31" i="32"/>
  <c r="G31" i="32"/>
  <c r="H31" i="32" s="1"/>
  <c r="F26" i="32"/>
  <c r="G26" i="32"/>
  <c r="G24" i="32"/>
  <c r="F24" i="32"/>
  <c r="G21" i="32"/>
  <c r="F21" i="32"/>
  <c r="G25" i="32"/>
  <c r="F25" i="32"/>
  <c r="G20" i="32"/>
  <c r="F20" i="32"/>
  <c r="E29" i="32"/>
  <c r="F37" i="16"/>
  <c r="G37" i="16"/>
  <c r="F58" i="16"/>
  <c r="F60" i="16"/>
  <c r="F36" i="16"/>
  <c r="G36" i="16"/>
  <c r="F57" i="16"/>
  <c r="F55" i="16"/>
  <c r="E62" i="16"/>
  <c r="F38" i="16"/>
  <c r="G38" i="16"/>
  <c r="F59" i="16"/>
  <c r="F39" i="16"/>
  <c r="G39" i="16"/>
  <c r="G40" i="16"/>
  <c r="F40" i="16"/>
  <c r="F8" i="18"/>
  <c r="G8" i="18"/>
  <c r="G8" i="19"/>
  <c r="E10" i="19"/>
  <c r="F8" i="19"/>
  <c r="F50" i="23"/>
  <c r="E52" i="23"/>
  <c r="G50" i="23"/>
  <c r="E52" i="18" l="1"/>
  <c r="F40" i="8"/>
  <c r="F46" i="11"/>
  <c r="F52" i="18"/>
  <c r="F56" i="18" s="1"/>
  <c r="G52" i="23"/>
  <c r="H50" i="23" s="1"/>
  <c r="F52" i="23"/>
  <c r="E54" i="23"/>
  <c r="F29" i="32"/>
  <c r="G29" i="32"/>
  <c r="H29" i="32" s="1"/>
  <c r="F50" i="32"/>
  <c r="G50" i="32"/>
  <c r="G64" i="32"/>
  <c r="F64" i="32"/>
  <c r="F27" i="8"/>
  <c r="G27" i="8"/>
  <c r="H27" i="8" s="1"/>
  <c r="G36" i="15"/>
  <c r="H36" i="15" s="1"/>
  <c r="E38" i="15"/>
  <c r="F36" i="15"/>
  <c r="G24" i="13"/>
  <c r="H24" i="13" s="1"/>
  <c r="F24" i="13"/>
  <c r="F35" i="20"/>
  <c r="G35" i="20"/>
  <c r="H35" i="20" s="1"/>
  <c r="G25" i="15"/>
  <c r="H25" i="15" s="1"/>
  <c r="F25" i="15"/>
  <c r="F15" i="9"/>
  <c r="G15" i="9"/>
  <c r="H15" i="9" s="1"/>
  <c r="F11" i="23"/>
  <c r="G11" i="23"/>
  <c r="H11" i="23" s="1"/>
  <c r="G22" i="20"/>
  <c r="H22" i="20" s="1"/>
  <c r="F22" i="20"/>
  <c r="F42" i="22"/>
  <c r="G42" i="22"/>
  <c r="H41" i="22" s="1"/>
  <c r="F28" i="20"/>
  <c r="G28" i="20"/>
  <c r="H28" i="20" s="1"/>
  <c r="F33" i="8"/>
  <c r="G33" i="8"/>
  <c r="H33" i="8" s="1"/>
  <c r="G53" i="16"/>
  <c r="F53" i="16"/>
  <c r="F31" i="13"/>
  <c r="G31" i="13"/>
  <c r="H31" i="13" s="1"/>
  <c r="F18" i="32"/>
  <c r="G18" i="32"/>
  <c r="H18" i="32" s="1"/>
  <c r="G15" i="15"/>
  <c r="H15" i="15" s="1"/>
  <c r="F15" i="15"/>
  <c r="F26" i="10"/>
  <c r="G26" i="10"/>
  <c r="H26" i="10" s="1"/>
  <c r="F47" i="7"/>
  <c r="G47" i="7"/>
  <c r="H47" i="7" s="1"/>
  <c r="E49" i="7"/>
  <c r="G32" i="16"/>
  <c r="H32" i="16" s="1"/>
  <c r="F32" i="16"/>
  <c r="G49" i="19"/>
  <c r="H49" i="19" s="1"/>
  <c r="F49" i="19"/>
  <c r="F39" i="11"/>
  <c r="G39" i="11"/>
  <c r="H39" i="11" s="1"/>
  <c r="F19" i="10"/>
  <c r="G19" i="10"/>
  <c r="H19" i="10" s="1"/>
  <c r="G31" i="18"/>
  <c r="H31" i="18" s="1"/>
  <c r="F31" i="18"/>
  <c r="F14" i="8"/>
  <c r="G14" i="8"/>
  <c r="H14" i="8" s="1"/>
  <c r="G32" i="10"/>
  <c r="H32" i="10" s="1"/>
  <c r="F32" i="10"/>
  <c r="G30" i="19"/>
  <c r="H30" i="19" s="1"/>
  <c r="F30" i="19"/>
  <c r="F36" i="10"/>
  <c r="G36" i="10"/>
  <c r="H36" i="10" s="1"/>
  <c r="G19" i="16"/>
  <c r="H19" i="16" s="1"/>
  <c r="F19" i="16"/>
  <c r="G16" i="21"/>
  <c r="H16" i="21" s="1"/>
  <c r="F16" i="21"/>
  <c r="F21" i="19"/>
  <c r="E56" i="14"/>
  <c r="F26" i="21"/>
  <c r="G26" i="21"/>
  <c r="G35" i="18"/>
  <c r="H35" i="18" s="1"/>
  <c r="F35" i="18"/>
  <c r="H41" i="18"/>
  <c r="F11" i="7"/>
  <c r="F10" i="19"/>
  <c r="G10" i="19"/>
  <c r="H10" i="19" s="1"/>
  <c r="F62" i="16"/>
  <c r="G62" i="16"/>
  <c r="F19" i="13"/>
  <c r="G19" i="13"/>
  <c r="H19" i="13" s="1"/>
  <c r="G45" i="13"/>
  <c r="H45" i="13" s="1"/>
  <c r="F45" i="13"/>
  <c r="F22" i="7"/>
  <c r="G22" i="7"/>
  <c r="H22" i="7" s="1"/>
  <c r="G39" i="21"/>
  <c r="H39" i="21" s="1"/>
  <c r="F39" i="21"/>
  <c r="E41" i="21"/>
  <c r="F19" i="18"/>
  <c r="G19" i="18"/>
  <c r="H19" i="18" s="1"/>
  <c r="E47" i="13"/>
  <c r="E50" i="13" s="1"/>
  <c r="F11" i="13"/>
  <c r="G11" i="13"/>
  <c r="H11" i="13" s="1"/>
  <c r="G22" i="14"/>
  <c r="H21" i="14" s="1"/>
  <c r="F22" i="14"/>
  <c r="F40" i="7"/>
  <c r="G40" i="7"/>
  <c r="H40" i="7" s="1"/>
  <c r="F44" i="23"/>
  <c r="F30" i="22"/>
  <c r="G30" i="22"/>
  <c r="H29" i="22" s="1"/>
  <c r="F22" i="23"/>
  <c r="G22" i="23"/>
  <c r="H22" i="23" s="1"/>
  <c r="G65" i="22"/>
  <c r="H64" i="22" s="1"/>
  <c r="F65" i="22"/>
  <c r="G29" i="14"/>
  <c r="H28" i="14" s="1"/>
  <c r="F29" i="14"/>
  <c r="E50" i="11"/>
  <c r="G46" i="11"/>
  <c r="H46" i="11" s="1"/>
  <c r="G26" i="9"/>
  <c r="H26" i="9" s="1"/>
  <c r="F26" i="9"/>
  <c r="F46" i="18"/>
  <c r="G46" i="18"/>
  <c r="H44" i="18" s="1"/>
  <c r="G10" i="11"/>
  <c r="H10" i="11" s="1"/>
  <c r="F10" i="11"/>
  <c r="G25" i="22"/>
  <c r="H24" i="22" s="1"/>
  <c r="F25" i="22"/>
  <c r="F42" i="16"/>
  <c r="G42" i="16"/>
  <c r="G42" i="32"/>
  <c r="H42" i="32" s="1"/>
  <c r="E76" i="32"/>
  <c r="F42" i="32"/>
  <c r="G59" i="32"/>
  <c r="F59" i="32"/>
  <c r="F19" i="22"/>
  <c r="G19" i="22"/>
  <c r="H18" i="22" s="1"/>
  <c r="F48" i="23"/>
  <c r="G48" i="23"/>
  <c r="H46" i="23" s="1"/>
  <c r="G22" i="21"/>
  <c r="H22" i="21" s="1"/>
  <c r="F22" i="21"/>
  <c r="G32" i="7"/>
  <c r="H32" i="7" s="1"/>
  <c r="F32" i="7"/>
  <c r="G55" i="22"/>
  <c r="H54" i="22" s="1"/>
  <c r="F55" i="22"/>
  <c r="F13" i="10"/>
  <c r="G13" i="10"/>
  <c r="H13" i="10" s="1"/>
  <c r="E37" i="20"/>
  <c r="G10" i="20"/>
  <c r="H10" i="20" s="1"/>
  <c r="F10" i="20"/>
  <c r="F16" i="11"/>
  <c r="G16" i="11"/>
  <c r="H16" i="11" s="1"/>
  <c r="G35" i="13"/>
  <c r="H35" i="13" s="1"/>
  <c r="F35" i="13"/>
  <c r="G76" i="22"/>
  <c r="H75" i="22" s="1"/>
  <c r="E80" i="22"/>
  <c r="F76" i="22"/>
  <c r="F30" i="21"/>
  <c r="G30" i="21"/>
  <c r="H30" i="21" s="1"/>
  <c r="F71" i="22"/>
  <c r="G71" i="22"/>
  <c r="H70" i="22" s="1"/>
  <c r="F41" i="19"/>
  <c r="G41" i="19"/>
  <c r="H41" i="19" s="1"/>
  <c r="F35" i="9"/>
  <c r="G35" i="9"/>
  <c r="H35" i="9" s="1"/>
  <c r="F53" i="19"/>
  <c r="G53" i="19"/>
  <c r="H53" i="19" s="1"/>
  <c r="E55" i="19"/>
  <c r="G11" i="16"/>
  <c r="H11" i="16" s="1"/>
  <c r="F11" i="16"/>
  <c r="E64" i="16"/>
  <c r="F46" i="9"/>
  <c r="F48" i="9" s="1"/>
  <c r="G46" i="9"/>
  <c r="H46" i="9" s="1"/>
  <c r="E48" i="9"/>
  <c r="E46" i="8"/>
  <c r="F14" i="14"/>
  <c r="G14" i="14"/>
  <c r="H14" i="14" s="1"/>
  <c r="E55" i="10"/>
  <c r="F51" i="10"/>
  <c r="G51" i="10"/>
  <c r="H51" i="10" s="1"/>
  <c r="G14" i="20"/>
  <c r="H14" i="20" s="1"/>
  <c r="F14" i="20"/>
  <c r="G19" i="15"/>
  <c r="H19" i="15" s="1"/>
  <c r="F19" i="15"/>
  <c r="L4" i="15" l="1"/>
  <c r="C37" i="25" s="1"/>
  <c r="L4" i="18"/>
  <c r="C52" i="25" s="1"/>
  <c r="E56" i="18"/>
  <c r="G52" i="18"/>
  <c r="L3" i="18"/>
  <c r="L8" i="18" s="1"/>
  <c r="F80" i="22"/>
  <c r="L3" i="7"/>
  <c r="B22" i="25" s="1"/>
  <c r="F50" i="11"/>
  <c r="F53" i="11" s="1"/>
  <c r="L7" i="32"/>
  <c r="F46" i="8"/>
  <c r="G46" i="8"/>
  <c r="E9" i="1"/>
  <c r="G64" i="16"/>
  <c r="E19" i="1"/>
  <c r="F64" i="16"/>
  <c r="L5" i="16"/>
  <c r="D38" i="25" s="1"/>
  <c r="D46" i="25" s="1"/>
  <c r="L3" i="16"/>
  <c r="L4" i="16"/>
  <c r="C38" i="25" s="1"/>
  <c r="L4" i="20"/>
  <c r="C41" i="25" s="1"/>
  <c r="L3" i="20"/>
  <c r="L5" i="20"/>
  <c r="D41" i="25" s="1"/>
  <c r="L4" i="10"/>
  <c r="C25" i="25" s="1"/>
  <c r="L3" i="10"/>
  <c r="F76" i="32"/>
  <c r="F79" i="32" s="1"/>
  <c r="E8" i="1"/>
  <c r="G76" i="32"/>
  <c r="E79" i="32"/>
  <c r="G79" i="32" s="1"/>
  <c r="L5" i="11"/>
  <c r="D26" i="25" s="1"/>
  <c r="L4" i="11"/>
  <c r="C26" i="25" s="1"/>
  <c r="L3" i="11"/>
  <c r="E53" i="11"/>
  <c r="G53" i="11" s="1"/>
  <c r="E12" i="1"/>
  <c r="G50" i="11"/>
  <c r="L4" i="13"/>
  <c r="C28" i="25" s="1"/>
  <c r="L3" i="13"/>
  <c r="F47" i="13"/>
  <c r="F50" i="13" s="1"/>
  <c r="E13" i="1"/>
  <c r="G50" i="13"/>
  <c r="G47" i="13"/>
  <c r="F43" i="21"/>
  <c r="F41" i="21"/>
  <c r="L4" i="19"/>
  <c r="C40" i="25" s="1"/>
  <c r="L3" i="19"/>
  <c r="L4" i="7"/>
  <c r="C22" i="25" s="1"/>
  <c r="E14" i="1"/>
  <c r="E7" i="1"/>
  <c r="E52" i="7"/>
  <c r="G52" i="7" s="1"/>
  <c r="F49" i="7"/>
  <c r="F52" i="7" s="1"/>
  <c r="G49" i="7"/>
  <c r="L3" i="15"/>
  <c r="L4" i="9"/>
  <c r="C24" i="25" s="1"/>
  <c r="L3" i="9"/>
  <c r="L3" i="32"/>
  <c r="G54" i="23"/>
  <c r="E24" i="1"/>
  <c r="G56" i="18"/>
  <c r="E57" i="10"/>
  <c r="G57" i="10" s="1"/>
  <c r="G55" i="10"/>
  <c r="E11" i="1"/>
  <c r="F55" i="10"/>
  <c r="F57" i="10" s="1"/>
  <c r="G48" i="9"/>
  <c r="E10" i="1"/>
  <c r="F55" i="19"/>
  <c r="F57" i="19" s="1"/>
  <c r="E57" i="19"/>
  <c r="G57" i="19" s="1"/>
  <c r="G55" i="19"/>
  <c r="E20" i="1"/>
  <c r="G80" i="22"/>
  <c r="E23" i="1"/>
  <c r="F37" i="20"/>
  <c r="E21" i="1"/>
  <c r="G37" i="20"/>
  <c r="L3" i="22"/>
  <c r="B43" i="25" s="1"/>
  <c r="L4" i="22"/>
  <c r="C43" i="25" s="1"/>
  <c r="G41" i="21"/>
  <c r="E43" i="21"/>
  <c r="G43" i="21" s="1"/>
  <c r="E22" i="1"/>
  <c r="L5" i="7"/>
  <c r="D22" i="25" s="1"/>
  <c r="L4" i="21"/>
  <c r="C42" i="25" s="1"/>
  <c r="L3" i="21"/>
  <c r="L4" i="23"/>
  <c r="C44" i="25" s="1"/>
  <c r="L5" i="23"/>
  <c r="D44" i="25" s="1"/>
  <c r="L3" i="23"/>
  <c r="B44" i="25" s="1"/>
  <c r="E18" i="1"/>
  <c r="G38" i="15"/>
  <c r="F38" i="15"/>
  <c r="L4" i="32"/>
  <c r="F54" i="23"/>
  <c r="E28" i="1" l="1"/>
  <c r="C46" i="25"/>
  <c r="C56" i="25" s="1"/>
  <c r="B52" i="25"/>
  <c r="G52" i="25" s="1"/>
  <c r="C53" i="25" s="1"/>
  <c r="G18" i="1"/>
  <c r="H18" i="1"/>
  <c r="F18" i="1"/>
  <c r="E26" i="1"/>
  <c r="L8" i="21"/>
  <c r="B42" i="25"/>
  <c r="G42" i="25" s="1"/>
  <c r="G11" i="1"/>
  <c r="F11" i="1"/>
  <c r="H11" i="1"/>
  <c r="H28" i="1"/>
  <c r="H30" i="1" s="1"/>
  <c r="E30" i="1"/>
  <c r="F28" i="1"/>
  <c r="F30" i="1" s="1"/>
  <c r="G28" i="1"/>
  <c r="G30" i="1" s="1"/>
  <c r="B24" i="25"/>
  <c r="G24" i="25" s="1"/>
  <c r="L8" i="9"/>
  <c r="B37" i="25"/>
  <c r="L8" i="15"/>
  <c r="G7" i="1"/>
  <c r="F7" i="1"/>
  <c r="E16" i="1"/>
  <c r="H7" i="1"/>
  <c r="F12" i="1"/>
  <c r="G12" i="1"/>
  <c r="H12" i="1"/>
  <c r="B26" i="25"/>
  <c r="G26" i="25" s="1"/>
  <c r="L8" i="11"/>
  <c r="B41" i="25"/>
  <c r="G41" i="25" s="1"/>
  <c r="L8" i="20"/>
  <c r="D56" i="25"/>
  <c r="H19" i="1"/>
  <c r="F19" i="1"/>
  <c r="G19" i="1"/>
  <c r="F9" i="1"/>
  <c r="H9" i="1"/>
  <c r="G9" i="1"/>
  <c r="G22" i="25"/>
  <c r="G44" i="25"/>
  <c r="G22" i="1"/>
  <c r="H22" i="1"/>
  <c r="F22" i="1"/>
  <c r="G43" i="25"/>
  <c r="F21" i="1"/>
  <c r="H21" i="1"/>
  <c r="G21" i="1"/>
  <c r="G23" i="1"/>
  <c r="H23" i="1"/>
  <c r="F23" i="1"/>
  <c r="H20" i="1"/>
  <c r="G20" i="1"/>
  <c r="F20" i="1"/>
  <c r="F10" i="1"/>
  <c r="H10" i="1"/>
  <c r="G10" i="1"/>
  <c r="G24" i="1"/>
  <c r="F24" i="1"/>
  <c r="H24" i="1"/>
  <c r="L8" i="32"/>
  <c r="B40" i="25"/>
  <c r="G40" i="25" s="1"/>
  <c r="L8" i="19"/>
  <c r="H13" i="1"/>
  <c r="F13" i="1"/>
  <c r="G13" i="1"/>
  <c r="L8" i="13"/>
  <c r="B28" i="25"/>
  <c r="G28" i="25" s="1"/>
  <c r="G8" i="1"/>
  <c r="F8" i="1"/>
  <c r="H8" i="1"/>
  <c r="B25" i="25"/>
  <c r="G25" i="25" s="1"/>
  <c r="L8" i="10"/>
  <c r="L8" i="16"/>
  <c r="B38" i="25"/>
  <c r="G38" i="25" s="1"/>
  <c r="L8" i="7"/>
  <c r="D53" i="25" l="1"/>
  <c r="F53" i="25"/>
  <c r="E53" i="25"/>
  <c r="E35" i="1"/>
  <c r="G37" i="25"/>
  <c r="G46" i="25" s="1"/>
  <c r="B46" i="25"/>
  <c r="B56" i="25" s="1"/>
  <c r="G26" i="1"/>
  <c r="F26" i="1"/>
  <c r="H26" i="1"/>
  <c r="C12" i="25" l="1"/>
  <c r="D12" i="25" s="1"/>
  <c r="C445" i="27"/>
  <c r="C447" i="27" s="1"/>
  <c r="G56" i="25"/>
  <c r="F47" i="25"/>
  <c r="E47" i="25"/>
  <c r="D47" i="25"/>
  <c r="E12" i="25" l="1"/>
  <c r="E57" i="25"/>
  <c r="F57" i="25"/>
  <c r="C57" i="25"/>
  <c r="D57" i="25"/>
  <c r="F49" i="14" l="1"/>
  <c r="F56" i="14" s="1"/>
  <c r="H42" i="14"/>
  <c r="L5" i="14"/>
  <c r="D29" i="25"/>
  <c r="D56" i="14"/>
  <c r="G56" i="14" s="1"/>
  <c r="B14" i="1"/>
  <c r="B16" i="1"/>
  <c r="B35" i="1"/>
  <c r="A36" i="26" s="1"/>
  <c r="A37" i="26" s="1"/>
  <c r="H35" i="1"/>
  <c r="B35" i="26" l="1"/>
  <c r="C35" i="26"/>
  <c r="L35" i="26"/>
  <c r="M35" i="26"/>
  <c r="K35" i="26"/>
  <c r="N35" i="26"/>
  <c r="I35" i="26"/>
  <c r="E35" i="26"/>
  <c r="F35" i="26"/>
  <c r="H35" i="26"/>
  <c r="J35" i="26"/>
  <c r="D35" i="26"/>
  <c r="G35" i="26"/>
  <c r="D16" i="1"/>
  <c r="H16" i="1"/>
  <c r="D14" i="1"/>
  <c r="H14" i="1"/>
  <c r="L3" i="14"/>
  <c r="L4" i="14"/>
  <c r="C29" i="25" s="1"/>
  <c r="B29" i="25" l="1"/>
  <c r="G29" i="25" s="1"/>
  <c r="L8" i="14"/>
  <c r="G14" i="1"/>
  <c r="F14" i="1"/>
  <c r="F16" i="1"/>
  <c r="F35" i="1" s="1"/>
  <c r="G16" i="1"/>
  <c r="D35" i="1"/>
  <c r="G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KEEBLE</author>
  </authors>
  <commentList>
    <comment ref="K8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PHILIP KEEBLE:</t>
        </r>
        <r>
          <rPr>
            <sz val="9"/>
            <color indexed="81"/>
            <rFont val="Tahoma"/>
            <family val="2"/>
          </rPr>
          <t xml:space="preserve">
should be B111
</t>
        </r>
      </text>
    </comment>
  </commentList>
</comments>
</file>

<file path=xl/sharedStrings.xml><?xml version="1.0" encoding="utf-8"?>
<sst xmlns="http://schemas.openxmlformats.org/spreadsheetml/2006/main" count="3113" uniqueCount="1662">
  <si>
    <t>Deanery</t>
  </si>
  <si>
    <t>Target</t>
  </si>
  <si>
    <t>Received</t>
  </si>
  <si>
    <t>Outstanding</t>
  </si>
  <si>
    <t>% Received</t>
  </si>
  <si>
    <t>Bosmere</t>
  </si>
  <si>
    <t>Clare</t>
  </si>
  <si>
    <t>Hadleigh</t>
  </si>
  <si>
    <t>Ixworth</t>
  </si>
  <si>
    <t>Lavenham</t>
  </si>
  <si>
    <t>Mildenhall</t>
  </si>
  <si>
    <t>Stowmarket</t>
  </si>
  <si>
    <t>Sudbury</t>
  </si>
  <si>
    <t>Thingoe</t>
  </si>
  <si>
    <t>Sudbury Archdeaconry</t>
  </si>
  <si>
    <t>Colneys</t>
  </si>
  <si>
    <t>Hartismere</t>
  </si>
  <si>
    <t>Hoxne</t>
  </si>
  <si>
    <t>Ipswich</t>
  </si>
  <si>
    <t>Loes</t>
  </si>
  <si>
    <t>Samford</t>
  </si>
  <si>
    <t>Saxmundham</t>
  </si>
  <si>
    <t>Waveney &amp; Blyth</t>
  </si>
  <si>
    <t>Woodbridge</t>
  </si>
  <si>
    <t>Suffolk Archdeaconry</t>
  </si>
  <si>
    <t>Other Donations</t>
  </si>
  <si>
    <t xml:space="preserve">Deanery Summary: </t>
  </si>
  <si>
    <t>Published on:</t>
  </si>
  <si>
    <t>Parish/Benefice</t>
  </si>
  <si>
    <t>Baylham</t>
  </si>
  <si>
    <t>Bramford</t>
  </si>
  <si>
    <t>Little Blakenham</t>
  </si>
  <si>
    <t>Nettlestead</t>
  </si>
  <si>
    <t>Bramford Group Total</t>
  </si>
  <si>
    <t>Claydon &amp; Barham</t>
  </si>
  <si>
    <t>Great Blakenham</t>
  </si>
  <si>
    <t>Henley</t>
  </si>
  <si>
    <t>Claydon Group Total</t>
  </si>
  <si>
    <t>Coddenham</t>
  </si>
  <si>
    <t>Creeting St Mary</t>
  </si>
  <si>
    <t>Creeting St Peter</t>
  </si>
  <si>
    <t>Crowfield</t>
  </si>
  <si>
    <t>Earl Stonham with Stonham Parva</t>
  </si>
  <si>
    <t>Gosbeck</t>
  </si>
  <si>
    <t>Hemingstone</t>
  </si>
  <si>
    <t>Stonham Aspal and Mickfield</t>
  </si>
  <si>
    <t>Coddenham and Creetings Group Total</t>
  </si>
  <si>
    <t>Needham Market with Badley</t>
  </si>
  <si>
    <t xml:space="preserve">Barking with Darmsden </t>
  </si>
  <si>
    <t>Battisford</t>
  </si>
  <si>
    <t>Flowton</t>
  </si>
  <si>
    <t>Great Bricett</t>
  </si>
  <si>
    <t>Offton</t>
  </si>
  <si>
    <t>Ringshall</t>
  </si>
  <si>
    <t>Somersham</t>
  </si>
  <si>
    <t>Willisham</t>
  </si>
  <si>
    <t>South Bosmere Eight Total</t>
  </si>
  <si>
    <t>Deanery Total</t>
  </si>
  <si>
    <t>Clare Deanery:</t>
  </si>
  <si>
    <t>Haverhill</t>
  </si>
  <si>
    <t>Withersfield</t>
  </si>
  <si>
    <t>Barnardiston</t>
  </si>
  <si>
    <t>Great Bradley</t>
  </si>
  <si>
    <t>Great Thurlow</t>
  </si>
  <si>
    <t>Great Wratting</t>
  </si>
  <si>
    <t>Kedington</t>
  </si>
  <si>
    <t>Little Bradley</t>
  </si>
  <si>
    <t>Little Thurlow</t>
  </si>
  <si>
    <t>Little Wratting</t>
  </si>
  <si>
    <t>Stourhead Benefice Total</t>
  </si>
  <si>
    <t>Haverhill with Withersfield Total</t>
  </si>
  <si>
    <t>Cowlinge</t>
  </si>
  <si>
    <t>Denston</t>
  </si>
  <si>
    <t>Lidgate</t>
  </si>
  <si>
    <t>Ousden</t>
  </si>
  <si>
    <t>Stansfield</t>
  </si>
  <si>
    <t>Stradishall</t>
  </si>
  <si>
    <t>Wickhambrook</t>
  </si>
  <si>
    <t>The Benefice of Bansfield Total</t>
  </si>
  <si>
    <t>Chedburgh</t>
  </si>
  <si>
    <t>Chevington</t>
  </si>
  <si>
    <t>Depden</t>
  </si>
  <si>
    <t>Hargrave</t>
  </si>
  <si>
    <t>Hawkedon</t>
  </si>
  <si>
    <t>Rede</t>
  </si>
  <si>
    <t>The Benefice of Suffolk Heights Total</t>
  </si>
  <si>
    <t>Cavendish</t>
  </si>
  <si>
    <t>Clare with Poslingford</t>
  </si>
  <si>
    <t>Hundon</t>
  </si>
  <si>
    <t>Stoke by Clare</t>
  </si>
  <si>
    <t>Wixoe</t>
  </si>
  <si>
    <t>The Benefice of Stour Valley</t>
  </si>
  <si>
    <t>Hadleigh Deanery:</t>
  </si>
  <si>
    <t>Bildeston</t>
  </si>
  <si>
    <t>Lindsey</t>
  </si>
  <si>
    <t>Naughton</t>
  </si>
  <si>
    <t>Nedging</t>
  </si>
  <si>
    <t>Semer</t>
  </si>
  <si>
    <t>Whatfield</t>
  </si>
  <si>
    <t>Aldham</t>
  </si>
  <si>
    <t>Elmsett</t>
  </si>
  <si>
    <t>Hintlesham &amp; Chattisham</t>
  </si>
  <si>
    <t>Kersey</t>
  </si>
  <si>
    <t>Layham</t>
  </si>
  <si>
    <t>Shelley</t>
  </si>
  <si>
    <t>Higham</t>
  </si>
  <si>
    <t>Holton St Mary</t>
  </si>
  <si>
    <t>Raydon</t>
  </si>
  <si>
    <t>Stratford St Mary</t>
  </si>
  <si>
    <t>Leavenheath</t>
  </si>
  <si>
    <t>Nayland</t>
  </si>
  <si>
    <t>Polstead</t>
  </si>
  <si>
    <t>Stoke-by-Nayland</t>
  </si>
  <si>
    <t>Wissington</t>
  </si>
  <si>
    <t>Stoke-by-Nayland w Leavenheath &amp; Polstead w Nayland &amp; Wissington Total</t>
  </si>
  <si>
    <t>Higham, Holton St Mary, Raydon &amp; Stratford St Mary Total</t>
  </si>
  <si>
    <t>Hadleigh, Layham &amp; Shelley Total</t>
  </si>
  <si>
    <t>Elmsett w Aldham, Hintlesham, Chattisham &amp; Kersey Total</t>
  </si>
  <si>
    <t>Bildeston w Wattisham &amp; Lindsey, Whatfield w Semer, Nedging &amp; Naughton Total</t>
  </si>
  <si>
    <t>Ixworth Deanery:</t>
  </si>
  <si>
    <t>Badwell Ash</t>
  </si>
  <si>
    <t>Finningham</t>
  </si>
  <si>
    <t>Langham</t>
  </si>
  <si>
    <t>Walsham-le-Willows</t>
  </si>
  <si>
    <t>Wattisfield</t>
  </si>
  <si>
    <t>Westhorpe</t>
  </si>
  <si>
    <t>Badwell &amp; Walsham Total</t>
  </si>
  <si>
    <t>Bardwell</t>
  </si>
  <si>
    <t>Barnham</t>
  </si>
  <si>
    <t>Euston</t>
  </si>
  <si>
    <t>Fakenham Magna</t>
  </si>
  <si>
    <t>Honington with Sapiston</t>
  </si>
  <si>
    <t>Ingham w Ampton &amp; Gt &amp; Lt Livermere</t>
  </si>
  <si>
    <t>Ixworth w Ixworth Thorpe</t>
  </si>
  <si>
    <t>Troston</t>
  </si>
  <si>
    <t>Blackbourne Team Total</t>
  </si>
  <si>
    <t>Great Ashfield</t>
  </si>
  <si>
    <t>Hunston</t>
  </si>
  <si>
    <t>Norton</t>
  </si>
  <si>
    <t>Pakenham</t>
  </si>
  <si>
    <t>Stowlangtoft</t>
  </si>
  <si>
    <t>Tostock</t>
  </si>
  <si>
    <t>Barningham</t>
  </si>
  <si>
    <t>Coney Weston</t>
  </si>
  <si>
    <t>Hepworth</t>
  </si>
  <si>
    <t>Hinderclay</t>
  </si>
  <si>
    <t>Hopton</t>
  </si>
  <si>
    <t>Market Weston</t>
  </si>
  <si>
    <t>Stanton</t>
  </si>
  <si>
    <t>Thelnetham</t>
  </si>
  <si>
    <t>Lavenham Deanery:</t>
  </si>
  <si>
    <t>Bradfield St Clare</t>
  </si>
  <si>
    <t>Bradfield St George &amp; Lt Whelnetham</t>
  </si>
  <si>
    <t>Cockfield</t>
  </si>
  <si>
    <t>Felsham</t>
  </si>
  <si>
    <t>Gedding</t>
  </si>
  <si>
    <t>Bradfield St Clare, Bradfield St George w Lt Whelnetham, Cockfield, Felsham &amp; Gedding Total</t>
  </si>
  <si>
    <t>Elmswell</t>
  </si>
  <si>
    <t>Preston</t>
  </si>
  <si>
    <t>Lavenham with Preston Total</t>
  </si>
  <si>
    <t>Brent Eleigh</t>
  </si>
  <si>
    <t>Chelsworth</t>
  </si>
  <si>
    <t>Kettlebaston</t>
  </si>
  <si>
    <t>Milden</t>
  </si>
  <si>
    <t>Monks Eleigh</t>
  </si>
  <si>
    <t>Monks Eleigh with Chelsworth &amp; Brent Eleigh w Milden &amp; Kettlebaston Total</t>
  </si>
  <si>
    <t>Beyton &amp; Hessett</t>
  </si>
  <si>
    <t>Rougham</t>
  </si>
  <si>
    <t>Rougham, Beyton with Hessett &amp; Rushbrooke Total</t>
  </si>
  <si>
    <t>Bradfield Combust</t>
  </si>
  <si>
    <t>Great Whelnetham</t>
  </si>
  <si>
    <t>Hawstead</t>
  </si>
  <si>
    <t>Lawshall</t>
  </si>
  <si>
    <t>Nowton</t>
  </si>
  <si>
    <t>Stanningfield</t>
  </si>
  <si>
    <t>The Saint Edmund Way Benefice Total</t>
  </si>
  <si>
    <t>Drinkstone</t>
  </si>
  <si>
    <t>Woolpit</t>
  </si>
  <si>
    <t>Woolpit with Drinkstone Total</t>
  </si>
  <si>
    <t>Brandon with Wangford</t>
  </si>
  <si>
    <t>Elveden</t>
  </si>
  <si>
    <t>Lakenheath</t>
  </si>
  <si>
    <t>Santon Downham</t>
  </si>
  <si>
    <t>Santon Downham w Elveden &amp; Lakenheath Total</t>
  </si>
  <si>
    <t>Exning with the Chapel of Landwade</t>
  </si>
  <si>
    <t>Barton Mills</t>
  </si>
  <si>
    <t>Beck Row with Kenny Hill</t>
  </si>
  <si>
    <t>Dalham</t>
  </si>
  <si>
    <t>Eriswell</t>
  </si>
  <si>
    <t>Freckenham</t>
  </si>
  <si>
    <t>Gazeley</t>
  </si>
  <si>
    <t>Herringswell</t>
  </si>
  <si>
    <t>Higham Green</t>
  </si>
  <si>
    <t>Icklingham</t>
  </si>
  <si>
    <t>Kentford</t>
  </si>
  <si>
    <t>Moulton</t>
  </si>
  <si>
    <t>Tuddenham w Cavenham &amp; Red Lodge</t>
  </si>
  <si>
    <t>West Row</t>
  </si>
  <si>
    <t>Worlington</t>
  </si>
  <si>
    <t>Newmarket All Saints</t>
  </si>
  <si>
    <t>Newmarket St Mary</t>
  </si>
  <si>
    <t>Newmarket St Mary w Exning St Agnes Total</t>
  </si>
  <si>
    <t>Over allocation</t>
  </si>
  <si>
    <t>Bacton</t>
  </si>
  <si>
    <t>Cotton</t>
  </si>
  <si>
    <t>Gipping</t>
  </si>
  <si>
    <t>Old Newton</t>
  </si>
  <si>
    <t>Wickham Skeith</t>
  </si>
  <si>
    <t>Wyverstone</t>
  </si>
  <si>
    <t>Combs</t>
  </si>
  <si>
    <t>Little Finborough</t>
  </si>
  <si>
    <t>Buxhall</t>
  </si>
  <si>
    <t>Great Finborough</t>
  </si>
  <si>
    <t>Harleston</t>
  </si>
  <si>
    <t>Onehouse</t>
  </si>
  <si>
    <t>Shelland</t>
  </si>
  <si>
    <t>Bacton w Wyverstone, Cotton &amp; Old Newton &amp; Wickham Skeith Total</t>
  </si>
  <si>
    <t>Haughley</t>
  </si>
  <si>
    <t>Stowupland</t>
  </si>
  <si>
    <t>Wetherden</t>
  </si>
  <si>
    <t>Haughley w Wetherden &amp; Stowupland Total</t>
  </si>
  <si>
    <t>Mendlesham</t>
  </si>
  <si>
    <t>Sudbury Deanery:</t>
  </si>
  <si>
    <t>Acton</t>
  </si>
  <si>
    <t>Great Waldingfield</t>
  </si>
  <si>
    <t>Acton w Gt Waldingfield Total</t>
  </si>
  <si>
    <t>Boxford</t>
  </si>
  <si>
    <t>Edwardstone</t>
  </si>
  <si>
    <t>Groton</t>
  </si>
  <si>
    <t>Lt Waldingfield</t>
  </si>
  <si>
    <t>Newton Green</t>
  </si>
  <si>
    <t>Assington</t>
  </si>
  <si>
    <t>Bures</t>
  </si>
  <si>
    <t>Little Cornard</t>
  </si>
  <si>
    <t>Bures w Assington &amp; Lt Cornard Total</t>
  </si>
  <si>
    <t>Glemsford</t>
  </si>
  <si>
    <t>Hartest with Boxtead</t>
  </si>
  <si>
    <t>Somerton</t>
  </si>
  <si>
    <t>Stanstead</t>
  </si>
  <si>
    <t>Glem Valley United Benefice Total</t>
  </si>
  <si>
    <t>Great Cornard</t>
  </si>
  <si>
    <t>Sudbury All Saints</t>
  </si>
  <si>
    <t>Sudbury St Gregory</t>
  </si>
  <si>
    <t>Alpheton &amp; Shimplingthorne</t>
  </si>
  <si>
    <t>Long Melford</t>
  </si>
  <si>
    <t>The Benefice of Chadbrook Total</t>
  </si>
  <si>
    <t>Mildenhall Deanery:</t>
  </si>
  <si>
    <t>Thingoe Deanery:</t>
  </si>
  <si>
    <t>Bury St Edmunds Christ Church Moreton Hall</t>
  </si>
  <si>
    <t>Bury St Edmunds St Mary w St Peter</t>
  </si>
  <si>
    <t>Great Barton</t>
  </si>
  <si>
    <t>Thurston</t>
  </si>
  <si>
    <t>Great Barton and Thurston Total</t>
  </si>
  <si>
    <t>Brockley</t>
  </si>
  <si>
    <t>Horringer</t>
  </si>
  <si>
    <t>Westley</t>
  </si>
  <si>
    <t>Whepstead</t>
  </si>
  <si>
    <t>Horringer Total</t>
  </si>
  <si>
    <t>Barrow</t>
  </si>
  <si>
    <t>Denham St Mary</t>
  </si>
  <si>
    <t>Great Saxham</t>
  </si>
  <si>
    <t>Little Saxham</t>
  </si>
  <si>
    <t>The Benefice of Barrow</t>
  </si>
  <si>
    <t>Risby</t>
  </si>
  <si>
    <t>Bury St Edmunds All Saints</t>
  </si>
  <si>
    <t>Bury St Edmunds St George</t>
  </si>
  <si>
    <t>Bury St Edmunds St John</t>
  </si>
  <si>
    <t>Culford</t>
  </si>
  <si>
    <t>Flemton with Hengrave</t>
  </si>
  <si>
    <t>Fornham All Saints</t>
  </si>
  <si>
    <t>Fornham St Martin</t>
  </si>
  <si>
    <t>Lackford</t>
  </si>
  <si>
    <t>Timworth</t>
  </si>
  <si>
    <t>West Stow &amp; Wordwell</t>
  </si>
  <si>
    <t>The North Bury Team and Lark Valley Benefice Total</t>
  </si>
  <si>
    <t>Colneys Deanery:</t>
  </si>
  <si>
    <t>Felixstowe St John the Baptist w St Edmund</t>
  </si>
  <si>
    <t>Felixstowe St Peter &amp; St Paul w St Andrew &amp; St Nicholas</t>
  </si>
  <si>
    <t>Kesgrave</t>
  </si>
  <si>
    <t>Brightwell</t>
  </si>
  <si>
    <t>Martlesham</t>
  </si>
  <si>
    <t>Felixstowe Christchurch</t>
  </si>
  <si>
    <t>Trimley</t>
  </si>
  <si>
    <t>Walton</t>
  </si>
  <si>
    <t>Walton and Trimley Total</t>
  </si>
  <si>
    <t>Bucklesham &amp; Foxhall</t>
  </si>
  <si>
    <t>Hemley</t>
  </si>
  <si>
    <t>Kirton</t>
  </si>
  <si>
    <t>Levington</t>
  </si>
  <si>
    <t>Nacton</t>
  </si>
  <si>
    <t>Newbourne</t>
  </si>
  <si>
    <t>Waldringfield</t>
  </si>
  <si>
    <t>Martlesham w Brightwell Total</t>
  </si>
  <si>
    <t>Bedingfield</t>
  </si>
  <si>
    <t>Eye with Braiseworth</t>
  </si>
  <si>
    <t>Occold</t>
  </si>
  <si>
    <t>Eye Total</t>
  </si>
  <si>
    <t>Brome with Oakley</t>
  </si>
  <si>
    <t>Burgate</t>
  </si>
  <si>
    <t>Palgrave</t>
  </si>
  <si>
    <t>Stuston</t>
  </si>
  <si>
    <t>Thrandeston</t>
  </si>
  <si>
    <t>Wortham</t>
  </si>
  <si>
    <t>North Hartismere Total</t>
  </si>
  <si>
    <t>Gislingham</t>
  </si>
  <si>
    <t>Mellis</t>
  </si>
  <si>
    <t>Stoke Ash w Thwaite</t>
  </si>
  <si>
    <t>Thorndon w Rishangles</t>
  </si>
  <si>
    <t>Thornham Magna</t>
  </si>
  <si>
    <t>Wetheringsett cum Brockford</t>
  </si>
  <si>
    <t>Yaxley</t>
  </si>
  <si>
    <t>South Hartismere Total</t>
  </si>
  <si>
    <t>Athelington</t>
  </si>
  <si>
    <t>Denham St John</t>
  </si>
  <si>
    <t>Horham</t>
  </si>
  <si>
    <t>Redlingfield</t>
  </si>
  <si>
    <t>Syleham</t>
  </si>
  <si>
    <t>Wingfield</t>
  </si>
  <si>
    <t>Athelington, Denham, Horham, Hoxne, Redlingfield, Syleham &amp; Wingfield Total</t>
  </si>
  <si>
    <t>Bedfield</t>
  </si>
  <si>
    <t>Brundish</t>
  </si>
  <si>
    <t>Cratfield</t>
  </si>
  <si>
    <t>Laxfield</t>
  </si>
  <si>
    <t>Monk Soham</t>
  </si>
  <si>
    <t>Tannington</t>
  </si>
  <si>
    <t>Wilby</t>
  </si>
  <si>
    <t>Worlingworth w Southolt</t>
  </si>
  <si>
    <t>Four Rivers Total</t>
  </si>
  <si>
    <t>Fressingfield</t>
  </si>
  <si>
    <t>Mendham</t>
  </si>
  <si>
    <t>Metfield</t>
  </si>
  <si>
    <t>Stradbroke</t>
  </si>
  <si>
    <t>Weybread</t>
  </si>
  <si>
    <t>Withersdale</t>
  </si>
  <si>
    <t>Sancroft Total</t>
  </si>
  <si>
    <t>Ipswich Deanery:</t>
  </si>
  <si>
    <t>Ipswich All Hallows</t>
  </si>
  <si>
    <t>Ipswich St Augustine</t>
  </si>
  <si>
    <t>Ipswich Holy Trinity</t>
  </si>
  <si>
    <t>Ipswich St Clements</t>
  </si>
  <si>
    <t>Ipswich St Helen</t>
  </si>
  <si>
    <t>Ipswich St Helen, Holy Trinity &amp; St Clements w St Luke Total</t>
  </si>
  <si>
    <t>Ipswich St Margaret</t>
  </si>
  <si>
    <t>Ipswich St Mary le Tower</t>
  </si>
  <si>
    <t>Ipswich St Mary at the Elms</t>
  </si>
  <si>
    <t>Ipswich All Saints</t>
  </si>
  <si>
    <t>Ipswich St Matthew</t>
  </si>
  <si>
    <t>Ipswich Triangle</t>
  </si>
  <si>
    <t>Ipswich St Matthew with Triangle &amp; All Saints Total</t>
  </si>
  <si>
    <t>Ipswich St Thomas</t>
  </si>
  <si>
    <t>Rushmere St Andrew</t>
  </si>
  <si>
    <t>Whitton with Thurleston &amp; Akenham</t>
  </si>
  <si>
    <t>Westerfield &amp; Tuddenham St Martin w Witnesham</t>
  </si>
  <si>
    <t>Loes Deanery:</t>
  </si>
  <si>
    <t>Brandeston</t>
  </si>
  <si>
    <t>Campsea Ashe</t>
  </si>
  <si>
    <t>Easton</t>
  </si>
  <si>
    <t>Hacheston</t>
  </si>
  <si>
    <t>Kettleburgh</t>
  </si>
  <si>
    <t>Marlesford</t>
  </si>
  <si>
    <t>Parham</t>
  </si>
  <si>
    <t>Orebeck Benefice Total</t>
  </si>
  <si>
    <t>Framlingham</t>
  </si>
  <si>
    <t>Saxtead</t>
  </si>
  <si>
    <t>Framlingham with Saxtead Total</t>
  </si>
  <si>
    <t>Aspall</t>
  </si>
  <si>
    <t>Debenham</t>
  </si>
  <si>
    <t>Framsden</t>
  </si>
  <si>
    <t>Helmingham</t>
  </si>
  <si>
    <t>Kenton</t>
  </si>
  <si>
    <t>Pettaugh</t>
  </si>
  <si>
    <t>Winston</t>
  </si>
  <si>
    <t>The Benefice of Debenham &amp; Helmingham Total</t>
  </si>
  <si>
    <t>Ashfield cum Thorpe</t>
  </si>
  <si>
    <t>Charsfield with Debach</t>
  </si>
  <si>
    <t>Cretingham</t>
  </si>
  <si>
    <t>Dallinghoo</t>
  </si>
  <si>
    <t>Letheringham</t>
  </si>
  <si>
    <t>Earl Soham</t>
  </si>
  <si>
    <t>Hoo</t>
  </si>
  <si>
    <t>Monewden</t>
  </si>
  <si>
    <t>The Benefice of Mid Loes Total</t>
  </si>
  <si>
    <t>Badingham</t>
  </si>
  <si>
    <t>Bruisyard</t>
  </si>
  <si>
    <t>Cransford</t>
  </si>
  <si>
    <t>Dennington</t>
  </si>
  <si>
    <t>Rendham</t>
  </si>
  <si>
    <t>Sweffling</t>
  </si>
  <si>
    <t>Upper Alde Total</t>
  </si>
  <si>
    <t>Pettistree</t>
  </si>
  <si>
    <t>Wickham Market</t>
  </si>
  <si>
    <t>Wickham Market &amp; Pettistree Total</t>
  </si>
  <si>
    <t>Samford Deanery:</t>
  </si>
  <si>
    <t>Capel St Mary with Lt Wenham</t>
  </si>
  <si>
    <t>Great Wenham</t>
  </si>
  <si>
    <t>Capel St Mary w Lt &amp; Gt Wenham Total</t>
  </si>
  <si>
    <t>Brantham</t>
  </si>
  <si>
    <t>East Bergholt</t>
  </si>
  <si>
    <t>East Bergholt &amp; Brantham Total</t>
  </si>
  <si>
    <t>Belstead</t>
  </si>
  <si>
    <t>Bentley</t>
  </si>
  <si>
    <t>Burstall</t>
  </si>
  <si>
    <t>Copdock w Washbrook</t>
  </si>
  <si>
    <t>Sproughton</t>
  </si>
  <si>
    <t>Tattingstone</t>
  </si>
  <si>
    <t>The North Samford Benefice Total</t>
  </si>
  <si>
    <t>Chelmondiston</t>
  </si>
  <si>
    <t>Erwarton</t>
  </si>
  <si>
    <t>Harkstead</t>
  </si>
  <si>
    <t>Shotley</t>
  </si>
  <si>
    <t>The Shoreline Benefice Total</t>
  </si>
  <si>
    <t>Freston</t>
  </si>
  <si>
    <t>Holbrook</t>
  </si>
  <si>
    <t>Stutton</t>
  </si>
  <si>
    <t>Wherstead</t>
  </si>
  <si>
    <t>Woolverstone</t>
  </si>
  <si>
    <t>The Two Rivers Benefice Total</t>
  </si>
  <si>
    <t>Saxmundham Deanery:</t>
  </si>
  <si>
    <t>Benhall</t>
  </si>
  <si>
    <t>Blaxhall</t>
  </si>
  <si>
    <t>Farnham &amp; Stratford St Andrew</t>
  </si>
  <si>
    <t>Great Glemham</t>
  </si>
  <si>
    <t>Little Glemham</t>
  </si>
  <si>
    <t xml:space="preserve">Snape </t>
  </si>
  <si>
    <t>Sternfield</t>
  </si>
  <si>
    <t>Benefice Share</t>
  </si>
  <si>
    <t>Alde River Benefice Total</t>
  </si>
  <si>
    <t>Aldeburgh</t>
  </si>
  <si>
    <t>Aldringham w Thorpe</t>
  </si>
  <si>
    <t>Friston</t>
  </si>
  <si>
    <t>Knodishall</t>
  </si>
  <si>
    <t>Leiston</t>
  </si>
  <si>
    <t>Kelsale cum Carlton</t>
  </si>
  <si>
    <t>Saxmundham with Kelsale-cum-Carlton Total</t>
  </si>
  <si>
    <t>Darsham</t>
  </si>
  <si>
    <t>Dunwich</t>
  </si>
  <si>
    <t>Middleton cum Fordley</t>
  </si>
  <si>
    <t>Peasenhall</t>
  </si>
  <si>
    <t>Theberton with Eastbridge</t>
  </si>
  <si>
    <t>Westleton</t>
  </si>
  <si>
    <t>Yoxford</t>
  </si>
  <si>
    <t>The Yoxmere Benefice Total</t>
  </si>
  <si>
    <t>Waveney &amp; Blyth Deanery:</t>
  </si>
  <si>
    <t>Blyford</t>
  </si>
  <si>
    <t>Bramfield</t>
  </si>
  <si>
    <t>Chediston</t>
  </si>
  <si>
    <t>Halesworth</t>
  </si>
  <si>
    <t>Holton St Peter</t>
  </si>
  <si>
    <t>Linstead Parva</t>
  </si>
  <si>
    <t>Spexhall</t>
  </si>
  <si>
    <t>Thorington</t>
  </si>
  <si>
    <t>Wenhaston</t>
  </si>
  <si>
    <t>Wissett</t>
  </si>
  <si>
    <t>Blyth Valley Team Total</t>
  </si>
  <si>
    <t>Barsham w Shipmeadow</t>
  </si>
  <si>
    <t>Bungay</t>
  </si>
  <si>
    <t>Mettingham</t>
  </si>
  <si>
    <t>Bungay Total</t>
  </si>
  <si>
    <t>Cookley</t>
  </si>
  <si>
    <t>Heveningham with Ubbeston</t>
  </si>
  <si>
    <t>Huntingfield</t>
  </si>
  <si>
    <t>Heveningham w Ubbeston, Huntingfield &amp; Cookley Total</t>
  </si>
  <si>
    <t>Brampton</t>
  </si>
  <si>
    <t>Ellough &amp; Weston</t>
  </si>
  <si>
    <t>Ilketshall St Andrew</t>
  </si>
  <si>
    <t>Redisham</t>
  </si>
  <si>
    <t>Ringsfield</t>
  </si>
  <si>
    <t>Shadingfield</t>
  </si>
  <si>
    <t>Stoven</t>
  </si>
  <si>
    <t>Westhall</t>
  </si>
  <si>
    <t>Willingham &amp; Sotterley</t>
  </si>
  <si>
    <t>Hundred River &amp; Wainford Benefice Total</t>
  </si>
  <si>
    <t>Flixton</t>
  </si>
  <si>
    <t>Homersfield</t>
  </si>
  <si>
    <t>Ilketshall St John</t>
  </si>
  <si>
    <t>Ilketshall St Lawrence</t>
  </si>
  <si>
    <t>Ilketshall St Margaret</t>
  </si>
  <si>
    <t>Rumburgh w All Saints Sth Elmham &amp; St Nicholas Sth Elmham</t>
  </si>
  <si>
    <t>St Cross South Elmham</t>
  </si>
  <si>
    <t>St James South Elmham</t>
  </si>
  <si>
    <t>St Margaret South Elmham</t>
  </si>
  <si>
    <t>St Michael South Elmham</t>
  </si>
  <si>
    <t>St Peter South Elmham</t>
  </si>
  <si>
    <t>Beccles St Michael and St Luke</t>
  </si>
  <si>
    <t>Blythburgh</t>
  </si>
  <si>
    <t>Reydon</t>
  </si>
  <si>
    <t>South Cove</t>
  </si>
  <si>
    <t>Southwold</t>
  </si>
  <si>
    <t>Walberswick</t>
  </si>
  <si>
    <t>The Benefice of Sole Bay Total</t>
  </si>
  <si>
    <t>Covehithe with Benacre</t>
  </si>
  <si>
    <t>Frostenden</t>
  </si>
  <si>
    <t>Henstead w Hulver</t>
  </si>
  <si>
    <t>Wrentham</t>
  </si>
  <si>
    <t>The Benefice of Wrentham, Covehithe w Benacre, Henstead w Hulver &amp; Frostenden Total</t>
  </si>
  <si>
    <t>Barnby &amp; North Cove</t>
  </si>
  <si>
    <t>Worlingham</t>
  </si>
  <si>
    <t>Woodbridge Deanery:</t>
  </si>
  <si>
    <t>Culpho</t>
  </si>
  <si>
    <t>Great Bealings</t>
  </si>
  <si>
    <t>Melton</t>
  </si>
  <si>
    <t>Ufford</t>
  </si>
  <si>
    <t>Melton &amp; Ufford Total</t>
  </si>
  <si>
    <t>Ashbocking</t>
  </si>
  <si>
    <t>Boulge</t>
  </si>
  <si>
    <t>Burgh</t>
  </si>
  <si>
    <t>Clopton</t>
  </si>
  <si>
    <t>Grundisburgh</t>
  </si>
  <si>
    <t>Hasketon</t>
  </si>
  <si>
    <t>Otley</t>
  </si>
  <si>
    <t>Swilland</t>
  </si>
  <si>
    <t>The Benefice of Carlford Total</t>
  </si>
  <si>
    <t>Alderton</t>
  </si>
  <si>
    <t>Bawdsey</t>
  </si>
  <si>
    <t>Boyton</t>
  </si>
  <si>
    <t>Bromeswell</t>
  </si>
  <si>
    <t>Butley</t>
  </si>
  <si>
    <t>Chillesford</t>
  </si>
  <si>
    <t>Hollesley</t>
  </si>
  <si>
    <t>Iken</t>
  </si>
  <si>
    <t>Orford</t>
  </si>
  <si>
    <t>Ramsholt</t>
  </si>
  <si>
    <t>Rendlesham St Gregory &amp; St Felix</t>
  </si>
  <si>
    <t>Shottisham</t>
  </si>
  <si>
    <t>Sudbourne</t>
  </si>
  <si>
    <t>Tunstall</t>
  </si>
  <si>
    <t>Sutton</t>
  </si>
  <si>
    <t>Wilford Peninsula Total</t>
  </si>
  <si>
    <t>Bredfield</t>
  </si>
  <si>
    <t>Woodbridge St John</t>
  </si>
  <si>
    <t>Woodbridge St John &amp; Bredfield Total</t>
  </si>
  <si>
    <t>Woodbridge St Mary the Virgin</t>
  </si>
  <si>
    <t>Under allocation</t>
  </si>
  <si>
    <t>Lark Valley Benefice</t>
  </si>
  <si>
    <t>Falkenham</t>
  </si>
  <si>
    <t>Thornham Parva</t>
  </si>
  <si>
    <t>Redgrave cum Botesdale with Rickinghall</t>
  </si>
  <si>
    <t>Eyke</t>
  </si>
  <si>
    <t>Brettenham</t>
  </si>
  <si>
    <t>Hitcham</t>
  </si>
  <si>
    <t>Rattlesden</t>
  </si>
  <si>
    <t>Thorpe Morieux</t>
  </si>
  <si>
    <t>Rattlesden w Thorpe Morieux, Brettenham &amp; Hitcham Total</t>
  </si>
  <si>
    <t>100% paid</t>
  </si>
  <si>
    <t>Counts</t>
  </si>
  <si>
    <t>more than 100% paid</t>
  </si>
  <si>
    <t>On Target</t>
  </si>
  <si>
    <t>Paid Nothing</t>
  </si>
  <si>
    <t>On target</t>
  </si>
  <si>
    <t>1 Month behind</t>
  </si>
  <si>
    <t>2 Months behind</t>
  </si>
  <si>
    <t>3 Months behind</t>
  </si>
  <si>
    <t>Paying Entity %</t>
  </si>
  <si>
    <t>Paying Entity</t>
  </si>
  <si>
    <t xml:space="preserve"> </t>
  </si>
  <si>
    <t>Year</t>
  </si>
  <si>
    <t>% of Share paid</t>
  </si>
  <si>
    <t>Share Requested</t>
  </si>
  <si>
    <t>Cash increase Year on Year</t>
  </si>
  <si>
    <t xml:space="preserve">Overall Receipts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</si>
  <si>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</si>
  <si>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</si>
  <si>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</si>
  <si>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</si>
  <si>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</si>
  <si>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</si>
  <si>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</si>
  <si>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</si>
  <si>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</si>
  <si>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</si>
  <si>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</si>
  <si>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</si>
  <si>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</si>
  <si>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Mean</t>
  </si>
  <si>
    <t>Cumulative</t>
  </si>
  <si>
    <t>Forecast</t>
  </si>
  <si>
    <t>Min</t>
  </si>
  <si>
    <t>Med</t>
  </si>
  <si>
    <t>Max</t>
  </si>
  <si>
    <t>Trendr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</si>
  <si>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</si>
  <si>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</si>
  <si>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</si>
  <si>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</si>
  <si>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</si>
  <si>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</si>
  <si>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</si>
  <si>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</si>
  <si>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</si>
  <si>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</si>
  <si>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</si>
  <si>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</si>
  <si>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Parish No.</t>
  </si>
  <si>
    <t>Pakenham w Norton, Tostock, Great Ashfield, Hunston &amp; Stowlangtoft Total</t>
  </si>
  <si>
    <t>Historic Nil Paid</t>
  </si>
  <si>
    <t>-</t>
  </si>
  <si>
    <t>Historic Behind</t>
  </si>
  <si>
    <t>Historic On Target</t>
  </si>
  <si>
    <t>Historic 100% or more</t>
  </si>
  <si>
    <t>Unknown</t>
  </si>
  <si>
    <t>Parish no.</t>
  </si>
  <si>
    <t xml:space="preserve">Parish no. </t>
  </si>
  <si>
    <t>Sotherton</t>
  </si>
  <si>
    <t>Uggeshall</t>
  </si>
  <si>
    <t>The Saints Total</t>
  </si>
  <si>
    <t>Revised Target</t>
  </si>
  <si>
    <t>Waiver agreed by Finance Committee</t>
  </si>
  <si>
    <t>Original Deanery Total</t>
  </si>
  <si>
    <t>Waiver/ Adjustment</t>
  </si>
  <si>
    <t>Project</t>
  </si>
  <si>
    <t>Year to date</t>
  </si>
  <si>
    <t>B115 - Benefice of Westerfield &amp; Tuddenham St Martin with Witnesham</t>
  </si>
  <si>
    <t>P330003 - Parish of Ashbocking</t>
  </si>
  <si>
    <t>P330005 - Parish of Claydon &amp; Barham</t>
  </si>
  <si>
    <t>P330008 - Parish of Baylham</t>
  </si>
  <si>
    <t>P330009 - Parish of Coddenham</t>
  </si>
  <si>
    <t>P330011 - Parish of Creeting St Peter</t>
  </si>
  <si>
    <t>P330012 - Parish of Crowfield</t>
  </si>
  <si>
    <t>P330013 - Parish of Earl Stonham with Stonham Parva</t>
  </si>
  <si>
    <t>P330015 - Parish of Gosbeck</t>
  </si>
  <si>
    <t>P330019 - Parish of Henley</t>
  </si>
  <si>
    <t>P330021 - Parish of Needham Market with Badley</t>
  </si>
  <si>
    <t>P330024 - Parish of Ringshall</t>
  </si>
  <si>
    <t>P330026 - Parish of Stonham Aspal and Mickfield</t>
  </si>
  <si>
    <t>P330028 - Parish of Swilland</t>
  </si>
  <si>
    <t>P330029 - Parish of Willisham</t>
  </si>
  <si>
    <t>P330032 - Parish of Bucklesham &amp; Foxhall</t>
  </si>
  <si>
    <t>P330033 - Parish of Falkenham</t>
  </si>
  <si>
    <t>P330036 - Parish of Felixstowe St Peter St Paul</t>
  </si>
  <si>
    <t>P330038 - Parish of Hemley</t>
  </si>
  <si>
    <t>P330039 - Parish of Kirton</t>
  </si>
  <si>
    <t>P330040 - Parish of Levington</t>
  </si>
  <si>
    <t>P330041 - Parish of Martlesham</t>
  </si>
  <si>
    <t>P330042 - Parish of Nacton</t>
  </si>
  <si>
    <t>P330043 - Parish of Newbourne</t>
  </si>
  <si>
    <t>P330044 - Parish of Trimley</t>
  </si>
  <si>
    <t>P330046 - Parish of Waldringfield</t>
  </si>
  <si>
    <t>P330047 - Parish of Walton</t>
  </si>
  <si>
    <t>P330049 - Parish of Aldham</t>
  </si>
  <si>
    <t>P330053 - Parish of Hadleigh</t>
  </si>
  <si>
    <t>P330055 - Parish of Hintlesham and Chattisham UP</t>
  </si>
  <si>
    <t>P330374 - Parish of Holton St Peter</t>
  </si>
  <si>
    <t>P330057 - Parish of Kersey</t>
  </si>
  <si>
    <t>P330062 - Parish of Nayland</t>
  </si>
  <si>
    <t>P330066 - Parish of Semer</t>
  </si>
  <si>
    <t>P330067 - Parish of Shelley</t>
  </si>
  <si>
    <t>P330069 - Parish of Great Wenham</t>
  </si>
  <si>
    <t>P330071 - Parish of Wissington</t>
  </si>
  <si>
    <t>P330073 - Parish of Bramford</t>
  </si>
  <si>
    <t>P330074 - Parish of Ipswich All Hallows</t>
  </si>
  <si>
    <t>P330077 - Parish of Ipswich St Clements</t>
  </si>
  <si>
    <t>P330078 - Parish of Ipswich St Andrew</t>
  </si>
  <si>
    <t>P330079 - Parish of Ipswich St Augustine of Hippo</t>
  </si>
  <si>
    <t>P330080 - Parish of Ipswich St Bartholomew</t>
  </si>
  <si>
    <t>P330084 - Parish of Ipswich St John the Baptist</t>
  </si>
  <si>
    <t>P330086 - Parish of Ipswich St Mary-at-the-Elms</t>
  </si>
  <si>
    <t>P330088 - Parish of Ipswich SWITM</t>
  </si>
  <si>
    <t>P330092 - Parish of Ipswich St Thomas</t>
  </si>
  <si>
    <t>P330093 - Parish of Kesgrave</t>
  </si>
  <si>
    <t>P330097 - Parish of Whitton</t>
  </si>
  <si>
    <t>P330100 - Parish of Bentley</t>
  </si>
  <si>
    <t>P330101 - Parish of East Bergholt</t>
  </si>
  <si>
    <t>P330102 - Parish of Brantham</t>
  </si>
  <si>
    <t>P330106 - Parish of Chelmondiston</t>
  </si>
  <si>
    <t>P330107 - Parish of Copdock with Washbrook</t>
  </si>
  <si>
    <t>P330108 - Parish of Erwarton</t>
  </si>
  <si>
    <t>P330109 - Parish of Freston</t>
  </si>
  <si>
    <t>P330112 - Parish of Shotley</t>
  </si>
  <si>
    <t>P330113 - Parish of Sproughton</t>
  </si>
  <si>
    <t>P330115 - Parish of Tattingstone</t>
  </si>
  <si>
    <t>P330117 - Parish of Wherstead</t>
  </si>
  <si>
    <t>P330119 - Parish of Bacton</t>
  </si>
  <si>
    <t>P330121 - Parish of Combs</t>
  </si>
  <si>
    <t>P330122 - Parish of Cotton</t>
  </si>
  <si>
    <t>P330124 - Parish of Great Finborough</t>
  </si>
  <si>
    <t>P330125 - Parish of Harleston</t>
  </si>
  <si>
    <t>P330126 - Parish of Haughley</t>
  </si>
  <si>
    <t>P330127 - Parish of Mendlesham</t>
  </si>
  <si>
    <t>P330128 - Parish of Old Newton</t>
  </si>
  <si>
    <t>P330131 - Parish of Shelland</t>
  </si>
  <si>
    <t>P330132 - Parish of Stoke Ash with Thwaite</t>
  </si>
  <si>
    <t>P330133 - Parish of Stowmarket</t>
  </si>
  <si>
    <t>P330134 - Parish of Stowupland</t>
  </si>
  <si>
    <t>P330137 - Parish of Wetherden</t>
  </si>
  <si>
    <t>P330138 - Parish of Wetheringsett cum Brockford</t>
  </si>
  <si>
    <t>P330139 - Parish of Wickham Skeith</t>
  </si>
  <si>
    <t>P330140 - Parish of Wyverstone</t>
  </si>
  <si>
    <t>P330142 - Parish of Bawdsey</t>
  </si>
  <si>
    <t>P330146 - Parish of Bromeswell</t>
  </si>
  <si>
    <t>P330147 - Parish of Burgh</t>
  </si>
  <si>
    <t>P330150 - Parish of Clopton</t>
  </si>
  <si>
    <t>P330154 - Parish of Grundisburgh</t>
  </si>
  <si>
    <t>P330155 - Parish of Hasketon</t>
  </si>
  <si>
    <t>P330157 - Parish of Iken</t>
  </si>
  <si>
    <t>P330159 - Parish of Orford</t>
  </si>
  <si>
    <t>P330160 - Parish of Otley</t>
  </si>
  <si>
    <t>P330164 - Parish of Shottisham</t>
  </si>
  <si>
    <t>P330165 - Parish of Sudbourne</t>
  </si>
  <si>
    <t>P330167 - Parish of Tunstall</t>
  </si>
  <si>
    <t>P330168 - Parish of Ufford</t>
  </si>
  <si>
    <t>P330170 - Parish of Woodbridge St John</t>
  </si>
  <si>
    <t>P330171 - Parish of Woodbridge St Mary</t>
  </si>
  <si>
    <t>P330175 - Parish of Clare with Poslingford UP</t>
  </si>
  <si>
    <t>P330177 - Parish of Depden</t>
  </si>
  <si>
    <t>P330180 - Parish of Haverhill</t>
  </si>
  <si>
    <t>P330181 - Parish of Hawkedon</t>
  </si>
  <si>
    <t>P330182 - Parish of Hundon</t>
  </si>
  <si>
    <t>P330187 - Parish of Rede</t>
  </si>
  <si>
    <t>P330189 - Parish of Stoke by Clare</t>
  </si>
  <si>
    <t>P330191 - Parish of Wickhambrook</t>
  </si>
  <si>
    <t>P330193 - Parish of Wixoe</t>
  </si>
  <si>
    <t>P330197 - Parish of Bardwell</t>
  </si>
  <si>
    <t>P330199 - Parish of Barningham</t>
  </si>
  <si>
    <t>P330206 - Parish of Hinderclay</t>
  </si>
  <si>
    <t>P330214 - Parish of Norton</t>
  </si>
  <si>
    <t>P330215 - Parish of Pakenham</t>
  </si>
  <si>
    <t>P330219 - Parish of Thurston</t>
  </si>
  <si>
    <t>P330220 - Parish of Tostock</t>
  </si>
  <si>
    <t>P330225 - Parish of Bradfield St Clare</t>
  </si>
  <si>
    <t>P330226 - Parish of Bradfield St George &amp; Lt. Whelnetham UP</t>
  </si>
  <si>
    <t>P330229 - Parish of Chelsworth</t>
  </si>
  <si>
    <t>P330230 - Parish of Cockfield</t>
  </si>
  <si>
    <t>P330231 - Parish of Drinkstone</t>
  </si>
  <si>
    <t>P330232 - Parish of Elmswell</t>
  </si>
  <si>
    <t>P330233 - Parish of Felsham</t>
  </si>
  <si>
    <t>P330234 - Parish of Gedding</t>
  </si>
  <si>
    <t>P330239 - Parish of Lavenham</t>
  </si>
  <si>
    <t>P330241 - Parish of Little Finborough</t>
  </si>
  <si>
    <t>P330244 - Parish of Monks Eleigh</t>
  </si>
  <si>
    <t>P330246 - Parish of Rattlesden</t>
  </si>
  <si>
    <t>P330250 - Parish of Woolpit</t>
  </si>
  <si>
    <t>P330251 - Parish of Barton Mills</t>
  </si>
  <si>
    <t>P330254 - Parish of Brandon with Wangford</t>
  </si>
  <si>
    <t>P330258 - Parish of Dalham</t>
  </si>
  <si>
    <t>P330261 - Parish of Exning St Agnes</t>
  </si>
  <si>
    <t>P330262 - Parish of Exning St Martin with the Chapel of Landwade</t>
  </si>
  <si>
    <t>P330268 - Parish of Icklingham</t>
  </si>
  <si>
    <t>P330270 - Parish of Lakenheath</t>
  </si>
  <si>
    <t>P330272 - Parish of Mildenhall</t>
  </si>
  <si>
    <t>P330273 - Parish of Moulton</t>
  </si>
  <si>
    <t>P330277 - Parish of Santon Downham</t>
  </si>
  <si>
    <t>P330279 - Parish of Tuddenham with Cavenham</t>
  </si>
  <si>
    <t>P330280 - Parish of West Row</t>
  </si>
  <si>
    <t>P330281 - Parish of Worlington</t>
  </si>
  <si>
    <t>P330284 - Parish of Assington</t>
  </si>
  <si>
    <t>P330285 - Parish of Boxford</t>
  </si>
  <si>
    <t>P330286 - Parish of Bures</t>
  </si>
  <si>
    <t>P330288 - Parish of Great Cornard</t>
  </si>
  <si>
    <t>P330289 - Parish of Little Cornard</t>
  </si>
  <si>
    <t>P330291 - Parish of Glemsford</t>
  </si>
  <si>
    <t>P330292 - Parish of Great Waldingfield</t>
  </si>
  <si>
    <t>P330296 - Parish of Long Melford</t>
  </si>
  <si>
    <t>P330298 - Parish of Newton Green</t>
  </si>
  <si>
    <t>P330303 - Parish of Sudbury St Gregory</t>
  </si>
  <si>
    <t>P330306 - Parish of Barrow</t>
  </si>
  <si>
    <t>P330308 - Parish of Brockley</t>
  </si>
  <si>
    <t>P330309 - Parish of Bury St Edmunds All Saints</t>
  </si>
  <si>
    <t>P330310 - Parish of Bury St Edmunds St George</t>
  </si>
  <si>
    <t>P330311 - Parish of Bury St Edmunds St John</t>
  </si>
  <si>
    <t>P330312 - Parish of Bury St Edmunds St Mary</t>
  </si>
  <si>
    <t>P330314 - Parish of Chevington</t>
  </si>
  <si>
    <t>P330320 - Parish of Great Barton</t>
  </si>
  <si>
    <t>P330324 - Parish of Hargrave</t>
  </si>
  <si>
    <t>P330330 - Parish of Risby</t>
  </si>
  <si>
    <t>P330333 - Parish of Westley</t>
  </si>
  <si>
    <t>P330335 - Parish of Whepstead</t>
  </si>
  <si>
    <t>P330338 - Parish of Beccles</t>
  </si>
  <si>
    <t>P330345 - Parish of Ilketshall St John</t>
  </si>
  <si>
    <t>P330347 - Parish of Ilketshall St Margaret</t>
  </si>
  <si>
    <t>P330350 - Parish of Ringsfield</t>
  </si>
  <si>
    <t>P330352 - Parish of Shadingfield</t>
  </si>
  <si>
    <t>P330366 - Parish of Brampton</t>
  </si>
  <si>
    <t>P330370 - Parish of Cratfield</t>
  </si>
  <si>
    <t>P330378 - Parish of Sotherton</t>
  </si>
  <si>
    <t>P330380 - Parish of Southwold</t>
  </si>
  <si>
    <t>P330381 - Parish of Spexhall</t>
  </si>
  <si>
    <t>P330383 - Parish of Thorington</t>
  </si>
  <si>
    <t>P330384 - Parish of Uggeshall</t>
  </si>
  <si>
    <t>P330385 - Parish of Walberswick</t>
  </si>
  <si>
    <t>P330390 - Parish of Wissett</t>
  </si>
  <si>
    <t>P330392 - Parish of Bedingfield</t>
  </si>
  <si>
    <t>P330395 - Parish of Burgate</t>
  </si>
  <si>
    <t>P330396 - Parish of Eye with Braiseworth</t>
  </si>
  <si>
    <t>P330397 - Parish of Gislingham</t>
  </si>
  <si>
    <t>P330398 - Parish of Mellis</t>
  </si>
  <si>
    <t>P330399 - Parish of Occold</t>
  </si>
  <si>
    <t>P330400 - Parish of Palgrave</t>
  </si>
  <si>
    <t>P330401 - Parish of Redgrave cum Botesdale with the Rickinghalls</t>
  </si>
  <si>
    <t>P330406 - Parish of Thorndon with Rishangles</t>
  </si>
  <si>
    <t>P330407 - Parish of Thornham Magna</t>
  </si>
  <si>
    <t>P330408 - Parish of Thornham Parva</t>
  </si>
  <si>
    <t>P330410 - Parish of Wortham</t>
  </si>
  <si>
    <t>P330411 - Parish of Yaxley</t>
  </si>
  <si>
    <t>P330413 - Parish of Bedfield</t>
  </si>
  <si>
    <t>P330416 - Parish of Fressingfield</t>
  </si>
  <si>
    <t>P330420 - Parish of Mendham</t>
  </si>
  <si>
    <t>P330424 - Parish of Syleham</t>
  </si>
  <si>
    <t>P330425 - Parish of Tannington</t>
  </si>
  <si>
    <t>P330427 - Parish of Wilby</t>
  </si>
  <si>
    <t>P330428 - Parish of Wingfield</t>
  </si>
  <si>
    <t>P330431 - Parish of Ashfield cum Thorpe</t>
  </si>
  <si>
    <t>P330433 - Parish of Badingham</t>
  </si>
  <si>
    <t>P330434 - Parish of Bruisyard</t>
  </si>
  <si>
    <t>P330436 - Parish of Campsea Ashe</t>
  </si>
  <si>
    <t>P330439 - Parish of Cretingham</t>
  </si>
  <si>
    <t>P330442 - Parish of Dennington</t>
  </si>
  <si>
    <t>P330443 - Parish of Earl Soham</t>
  </si>
  <si>
    <t>P330444 - Parish of Easton</t>
  </si>
  <si>
    <t>P330445 - Parish of Framlingham</t>
  </si>
  <si>
    <t>P330448 - Parish of Helmingham</t>
  </si>
  <si>
    <t>P330450 - Parish of Kenton</t>
  </si>
  <si>
    <t>P330453 - Parish of Marlesford</t>
  </si>
  <si>
    <t>P330454 - Parish of Monewden</t>
  </si>
  <si>
    <t>P330456 - Parish of Pettaugh</t>
  </si>
  <si>
    <t>P330457 - Parish of Pettistree</t>
  </si>
  <si>
    <t>P330458 - Parish of Saxtead</t>
  </si>
  <si>
    <t>P330459 - Parish of Wickham Market</t>
  </si>
  <si>
    <t>P330460 - Parish of Winston</t>
  </si>
  <si>
    <t>P330461 - Parish of Aldeburgh</t>
  </si>
  <si>
    <t>P330462 - Parish of Aldringham with Thorpe</t>
  </si>
  <si>
    <t>P330463 - Parish of Benhall</t>
  </si>
  <si>
    <t>P330464 - Parish of Blaxhall</t>
  </si>
  <si>
    <t>P330466 - Parish of Dunwich</t>
  </si>
  <si>
    <t>P330467 - Parish of Farnham &amp; Stratford St Andrew</t>
  </si>
  <si>
    <t>P330469 - Parish of Great Glemham</t>
  </si>
  <si>
    <t>P330473 - Parish of Leiston</t>
  </si>
  <si>
    <t>P330474 - Parish of Little Glemham</t>
  </si>
  <si>
    <t>P330477 - Parish of Rendham</t>
  </si>
  <si>
    <t>P330478 - Parish of Saxmundham</t>
  </si>
  <si>
    <t>P330483 - Parish of Sweffling</t>
  </si>
  <si>
    <t>P330484 - Parish of Theberton with Eastbridge</t>
  </si>
  <si>
    <t>P330485 - Parish of Westleton</t>
  </si>
  <si>
    <t>P330491 - Parish of Melton</t>
  </si>
  <si>
    <t>P330500 - Parish of Felixstowe Christchurch</t>
  </si>
  <si>
    <t>C330075 - Church of All Saints,Ipswich St Matthew</t>
  </si>
  <si>
    <t>C330493 - Church of Triangle,Ipswich St Matthew</t>
  </si>
  <si>
    <t xml:space="preserve">B029 </t>
  </si>
  <si>
    <t xml:space="preserve">P330008 </t>
  </si>
  <si>
    <t xml:space="preserve">P330073 </t>
  </si>
  <si>
    <t xml:space="preserve">P330020 </t>
  </si>
  <si>
    <t xml:space="preserve">P330022 </t>
  </si>
  <si>
    <t xml:space="preserve">P330005 </t>
  </si>
  <si>
    <t xml:space="preserve">P330016 </t>
  </si>
  <si>
    <t xml:space="preserve">P330019 </t>
  </si>
  <si>
    <t xml:space="preserve">B039 </t>
  </si>
  <si>
    <t xml:space="preserve">P330009 </t>
  </si>
  <si>
    <t xml:space="preserve">P330010 </t>
  </si>
  <si>
    <t xml:space="preserve">P330011 </t>
  </si>
  <si>
    <t xml:space="preserve">P330012 </t>
  </si>
  <si>
    <t xml:space="preserve">P330013 </t>
  </si>
  <si>
    <t xml:space="preserve">P330015 </t>
  </si>
  <si>
    <t xml:space="preserve">P330038 </t>
  </si>
  <si>
    <t xml:space="preserve">P330026 </t>
  </si>
  <si>
    <t xml:space="preserve">B089 </t>
  </si>
  <si>
    <t xml:space="preserve">P330021 </t>
  </si>
  <si>
    <t xml:space="preserve">P330006 </t>
  </si>
  <si>
    <t xml:space="preserve">P330007 </t>
  </si>
  <si>
    <t xml:space="preserve">P330014 </t>
  </si>
  <si>
    <t xml:space="preserve">P330017 </t>
  </si>
  <si>
    <t xml:space="preserve">P330023 </t>
  </si>
  <si>
    <t xml:space="preserve">P330024 </t>
  </si>
  <si>
    <t xml:space="preserve">P330025 </t>
  </si>
  <si>
    <t xml:space="preserve">P330029 </t>
  </si>
  <si>
    <t xml:space="preserve">B099 </t>
  </si>
  <si>
    <t xml:space="preserve">P330180 </t>
  </si>
  <si>
    <t xml:space="preserve">P330192 </t>
  </si>
  <si>
    <t xml:space="preserve">B062 </t>
  </si>
  <si>
    <t xml:space="preserve">P330172 </t>
  </si>
  <si>
    <t xml:space="preserve">P330178 </t>
  </si>
  <si>
    <t xml:space="preserve">P330179 </t>
  </si>
  <si>
    <t xml:space="preserve">P330194 </t>
  </si>
  <si>
    <t xml:space="preserve">P330183 </t>
  </si>
  <si>
    <t xml:space="preserve">P330184 </t>
  </si>
  <si>
    <t xml:space="preserve">P330185 </t>
  </si>
  <si>
    <t xml:space="preserve">P330195 </t>
  </si>
  <si>
    <t xml:space="preserve">B104 </t>
  </si>
  <si>
    <t xml:space="preserve">P330257 </t>
  </si>
  <si>
    <t xml:space="preserve">P330176 </t>
  </si>
  <si>
    <t xml:space="preserve">P330271 </t>
  </si>
  <si>
    <t xml:space="preserve">P330276 </t>
  </si>
  <si>
    <t xml:space="preserve">P330188 </t>
  </si>
  <si>
    <t xml:space="preserve">P330190 </t>
  </si>
  <si>
    <t xml:space="preserve">P330191 </t>
  </si>
  <si>
    <t xml:space="preserve">B002 </t>
  </si>
  <si>
    <t xml:space="preserve">P330174 </t>
  </si>
  <si>
    <t xml:space="preserve">P330314 </t>
  </si>
  <si>
    <t xml:space="preserve">P330177 </t>
  </si>
  <si>
    <t xml:space="preserve">P330324 </t>
  </si>
  <si>
    <t xml:space="preserve">P330181 </t>
  </si>
  <si>
    <t xml:space="preserve">P330187 </t>
  </si>
  <si>
    <t xml:space="preserve">B013 </t>
  </si>
  <si>
    <t xml:space="preserve">P330173 </t>
  </si>
  <si>
    <t xml:space="preserve">P330175 </t>
  </si>
  <si>
    <t xml:space="preserve">P330182 </t>
  </si>
  <si>
    <t xml:space="preserve">P330189 </t>
  </si>
  <si>
    <t xml:space="preserve">P330193 </t>
  </si>
  <si>
    <t xml:space="preserve">B015 </t>
  </si>
  <si>
    <t xml:space="preserve">P330050 </t>
  </si>
  <si>
    <t xml:space="preserve">P330060 </t>
  </si>
  <si>
    <t xml:space="preserve">P330061 </t>
  </si>
  <si>
    <t xml:space="preserve">P330063 </t>
  </si>
  <si>
    <t xml:space="preserve">P330066 </t>
  </si>
  <si>
    <t xml:space="preserve">P330070 </t>
  </si>
  <si>
    <t xml:space="preserve">P330049 </t>
  </si>
  <si>
    <t xml:space="preserve">P330052 </t>
  </si>
  <si>
    <t xml:space="preserve">P330055 </t>
  </si>
  <si>
    <t xml:space="preserve">P330057 </t>
  </si>
  <si>
    <t xml:space="preserve">P330053 </t>
  </si>
  <si>
    <t xml:space="preserve">P330058 </t>
  </si>
  <si>
    <t xml:space="preserve">P330067 </t>
  </si>
  <si>
    <t xml:space="preserve">P330054 </t>
  </si>
  <si>
    <t xml:space="preserve">P330056 </t>
  </si>
  <si>
    <t xml:space="preserve">P330065 </t>
  </si>
  <si>
    <t xml:space="preserve">P330072 </t>
  </si>
  <si>
    <t xml:space="preserve">B064 </t>
  </si>
  <si>
    <t xml:space="preserve">P330059 </t>
  </si>
  <si>
    <t xml:space="preserve">P330062 </t>
  </si>
  <si>
    <t xml:space="preserve">P330064 </t>
  </si>
  <si>
    <t xml:space="preserve">P330068 </t>
  </si>
  <si>
    <t xml:space="preserve">P330071 </t>
  </si>
  <si>
    <t xml:space="preserve">B103 </t>
  </si>
  <si>
    <t xml:space="preserve">P330196 </t>
  </si>
  <si>
    <t xml:space="preserve">P330123 </t>
  </si>
  <si>
    <t xml:space="preserve">P330212 </t>
  </si>
  <si>
    <t xml:space="preserve">P330222 </t>
  </si>
  <si>
    <t xml:space="preserve">P330223 </t>
  </si>
  <si>
    <t xml:space="preserve">P330136 </t>
  </si>
  <si>
    <t xml:space="preserve">B023 </t>
  </si>
  <si>
    <t xml:space="preserve">P330197 </t>
  </si>
  <si>
    <t xml:space="preserve">P330198 </t>
  </si>
  <si>
    <t xml:space="preserve">P330201 </t>
  </si>
  <si>
    <t xml:space="preserve">P330202 </t>
  </si>
  <si>
    <t xml:space="preserve">P330207 </t>
  </si>
  <si>
    <t xml:space="preserve">P330326 </t>
  </si>
  <si>
    <t xml:space="preserve">P330210 </t>
  </si>
  <si>
    <t xml:space="preserve">P330221 </t>
  </si>
  <si>
    <t xml:space="preserve">B025 </t>
  </si>
  <si>
    <t xml:space="preserve">P330203 </t>
  </si>
  <si>
    <t xml:space="preserve">P330209 </t>
  </si>
  <si>
    <t xml:space="preserve">P330214 </t>
  </si>
  <si>
    <t xml:space="preserve">P330215 </t>
  </si>
  <si>
    <t xml:space="preserve">P330217 </t>
  </si>
  <si>
    <t xml:space="preserve">P330220 </t>
  </si>
  <si>
    <t xml:space="preserve">B090 </t>
  </si>
  <si>
    <t xml:space="preserve">P330199 </t>
  </si>
  <si>
    <t xml:space="preserve">P330200 </t>
  </si>
  <si>
    <t xml:space="preserve">P330205 </t>
  </si>
  <si>
    <t xml:space="preserve">P330206 </t>
  </si>
  <si>
    <t xml:space="preserve">P330208 </t>
  </si>
  <si>
    <t xml:space="preserve">P330213 </t>
  </si>
  <si>
    <t xml:space="preserve">P330216 </t>
  </si>
  <si>
    <t xml:space="preserve">P330218 </t>
  </si>
  <si>
    <t xml:space="preserve">B102 </t>
  </si>
  <si>
    <t xml:space="preserve">P330307 </t>
  </si>
  <si>
    <t xml:space="preserve">P330226 </t>
  </si>
  <si>
    <t xml:space="preserve">P330230 </t>
  </si>
  <si>
    <t xml:space="preserve">P330233 </t>
  </si>
  <si>
    <t xml:space="preserve">P330234 </t>
  </si>
  <si>
    <t xml:space="preserve">B028 </t>
  </si>
  <si>
    <t xml:space="preserve">P330232 </t>
  </si>
  <si>
    <t xml:space="preserve">P330239 </t>
  </si>
  <si>
    <t xml:space="preserve">P330245 </t>
  </si>
  <si>
    <t xml:space="preserve">B079 </t>
  </si>
  <si>
    <t xml:space="preserve">P330227 </t>
  </si>
  <si>
    <t xml:space="preserve">P330229 </t>
  </si>
  <si>
    <t xml:space="preserve">P330451 </t>
  </si>
  <si>
    <t xml:space="preserve">P330243 </t>
  </si>
  <si>
    <t xml:space="preserve">P330244 </t>
  </si>
  <si>
    <t xml:space="preserve">B085 </t>
  </si>
  <si>
    <t xml:space="preserve">P330228 </t>
  </si>
  <si>
    <t xml:space="preserve">P330237 </t>
  </si>
  <si>
    <t xml:space="preserve">P330246 </t>
  </si>
  <si>
    <t xml:space="preserve">P330249 </t>
  </si>
  <si>
    <t xml:space="preserve">B091 </t>
  </si>
  <si>
    <t xml:space="preserve">P330224 </t>
  </si>
  <si>
    <t xml:space="preserve">P330247 </t>
  </si>
  <si>
    <t xml:space="preserve">B094 </t>
  </si>
  <si>
    <t xml:space="preserve">P330235 </t>
  </si>
  <si>
    <t xml:space="preserve">P330325 </t>
  </si>
  <si>
    <t xml:space="preserve">P330240 </t>
  </si>
  <si>
    <t xml:space="preserve">P330329 </t>
  </si>
  <si>
    <t xml:space="preserve">P330331 </t>
  </si>
  <si>
    <t xml:space="preserve">B110 </t>
  </si>
  <si>
    <t xml:space="preserve">P330231 </t>
  </si>
  <si>
    <t xml:space="preserve">P330250 </t>
  </si>
  <si>
    <t xml:space="preserve">B121 </t>
  </si>
  <si>
    <t xml:space="preserve">P330225 </t>
  </si>
  <si>
    <t xml:space="preserve">P330238 </t>
  </si>
  <si>
    <t xml:space="preserve">P330254 </t>
  </si>
  <si>
    <t xml:space="preserve">P330259 </t>
  </si>
  <si>
    <t xml:space="preserve">P330270 </t>
  </si>
  <si>
    <t xml:space="preserve">P330277 </t>
  </si>
  <si>
    <t xml:space="preserve">B096 </t>
  </si>
  <si>
    <t xml:space="preserve">P330262 </t>
  </si>
  <si>
    <t xml:space="preserve">P330251 </t>
  </si>
  <si>
    <t xml:space="preserve">P330252 </t>
  </si>
  <si>
    <t xml:space="preserve">P330258 </t>
  </si>
  <si>
    <t xml:space="preserve">P330260 </t>
  </si>
  <si>
    <t xml:space="preserve">P330264 </t>
  </si>
  <si>
    <t xml:space="preserve">P330265 </t>
  </si>
  <si>
    <t xml:space="preserve">P330266 </t>
  </si>
  <si>
    <t xml:space="preserve">P330267 </t>
  </si>
  <si>
    <t xml:space="preserve">P330268 </t>
  </si>
  <si>
    <t xml:space="preserve">P330269 </t>
  </si>
  <si>
    <t xml:space="preserve">P330272 </t>
  </si>
  <si>
    <t xml:space="preserve">P330273 </t>
  </si>
  <si>
    <t xml:space="preserve">P330279 </t>
  </si>
  <si>
    <t xml:space="preserve">P330280 </t>
  </si>
  <si>
    <t xml:space="preserve">P330281 </t>
  </si>
  <si>
    <t xml:space="preserve">B045 </t>
  </si>
  <si>
    <t xml:space="preserve">P330274 </t>
  </si>
  <si>
    <t xml:space="preserve">P330261 </t>
  </si>
  <si>
    <t xml:space="preserve">P330275 </t>
  </si>
  <si>
    <t xml:space="preserve">B088 </t>
  </si>
  <si>
    <t xml:space="preserve">P330119 </t>
  </si>
  <si>
    <t xml:space="preserve">P330122 </t>
  </si>
  <si>
    <t xml:space="preserve">P330128 </t>
  </si>
  <si>
    <t xml:space="preserve">P330139 </t>
  </si>
  <si>
    <t xml:space="preserve">P330140 </t>
  </si>
  <si>
    <t xml:space="preserve">B022 </t>
  </si>
  <si>
    <t xml:space="preserve">P330121 </t>
  </si>
  <si>
    <t xml:space="preserve">P330241 </t>
  </si>
  <si>
    <t xml:space="preserve">P330120 </t>
  </si>
  <si>
    <t xml:space="preserve">P330124 </t>
  </si>
  <si>
    <t xml:space="preserve">P330125 </t>
  </si>
  <si>
    <t xml:space="preserve">P330130 </t>
  </si>
  <si>
    <t xml:space="preserve">P330131 </t>
  </si>
  <si>
    <t xml:space="preserve">B059 </t>
  </si>
  <si>
    <t xml:space="preserve">P330126 </t>
  </si>
  <si>
    <t xml:space="preserve">P330134 </t>
  </si>
  <si>
    <t xml:space="preserve">P330137 </t>
  </si>
  <si>
    <t xml:space="preserve">B061 </t>
  </si>
  <si>
    <t xml:space="preserve">P330127 </t>
  </si>
  <si>
    <t xml:space="preserve">P330133 </t>
  </si>
  <si>
    <t xml:space="preserve">P330282 </t>
  </si>
  <si>
    <t xml:space="preserve">P330292 </t>
  </si>
  <si>
    <t xml:space="preserve">B018 </t>
  </si>
  <si>
    <t xml:space="preserve">P330285 </t>
  </si>
  <si>
    <t xml:space="preserve">P330290 </t>
  </si>
  <si>
    <t xml:space="preserve">P330293 </t>
  </si>
  <si>
    <t xml:space="preserve">P330304 </t>
  </si>
  <si>
    <t xml:space="preserve">P330298 </t>
  </si>
  <si>
    <t xml:space="preserve">B027 </t>
  </si>
  <si>
    <t xml:space="preserve">P330284 </t>
  </si>
  <si>
    <t xml:space="preserve">P330286 </t>
  </si>
  <si>
    <t xml:space="preserve">P330289 </t>
  </si>
  <si>
    <t xml:space="preserve">B032 </t>
  </si>
  <si>
    <t xml:space="preserve">P330291 </t>
  </si>
  <si>
    <t xml:space="preserve">P330294 </t>
  </si>
  <si>
    <t xml:space="preserve">P330300 </t>
  </si>
  <si>
    <t xml:space="preserve">P330301 </t>
  </si>
  <si>
    <t xml:space="preserve">B054 </t>
  </si>
  <si>
    <t xml:space="preserve">P330288 </t>
  </si>
  <si>
    <t xml:space="preserve">P330302 </t>
  </si>
  <si>
    <t xml:space="preserve">P330303 </t>
  </si>
  <si>
    <t xml:space="preserve">P330283 </t>
  </si>
  <si>
    <t xml:space="preserve">P330296 </t>
  </si>
  <si>
    <t xml:space="preserve">B006 </t>
  </si>
  <si>
    <t xml:space="preserve">P330494 </t>
  </si>
  <si>
    <t xml:space="preserve">P330312 </t>
  </si>
  <si>
    <t xml:space="preserve">P330320 </t>
  </si>
  <si>
    <t xml:space="preserve">P330219 </t>
  </si>
  <si>
    <t xml:space="preserve">B055 </t>
  </si>
  <si>
    <t xml:space="preserve">P330308 </t>
  </si>
  <si>
    <t xml:space="preserve">P330321 </t>
  </si>
  <si>
    <t xml:space="preserve">P330333 </t>
  </si>
  <si>
    <t xml:space="preserve">P330335 </t>
  </si>
  <si>
    <t xml:space="preserve">B065 </t>
  </si>
  <si>
    <t xml:space="preserve">P330306 </t>
  </si>
  <si>
    <t xml:space="preserve">P330316 </t>
  </si>
  <si>
    <t xml:space="preserve">P330323 </t>
  </si>
  <si>
    <t xml:space="preserve">P330328 </t>
  </si>
  <si>
    <t xml:space="preserve">P330330 </t>
  </si>
  <si>
    <t xml:space="preserve">B003 </t>
  </si>
  <si>
    <t xml:space="preserve">P330309 </t>
  </si>
  <si>
    <t xml:space="preserve">P330310 </t>
  </si>
  <si>
    <t xml:space="preserve">P330311 </t>
  </si>
  <si>
    <t xml:space="preserve">B078 </t>
  </si>
  <si>
    <t xml:space="preserve">P330034 </t>
  </si>
  <si>
    <t xml:space="preserve">P330036 </t>
  </si>
  <si>
    <t xml:space="preserve">P330093 </t>
  </si>
  <si>
    <t xml:space="preserve">P330031 </t>
  </si>
  <si>
    <t xml:space="preserve">P330041 </t>
  </si>
  <si>
    <t xml:space="preserve">B081 </t>
  </si>
  <si>
    <t xml:space="preserve">P330500 </t>
  </si>
  <si>
    <t xml:space="preserve">P330044 </t>
  </si>
  <si>
    <t xml:space="preserve">P330047 </t>
  </si>
  <si>
    <t xml:space="preserve">B016 </t>
  </si>
  <si>
    <t xml:space="preserve">P330032 </t>
  </si>
  <si>
    <t xml:space="preserve">P330033 </t>
  </si>
  <si>
    <t xml:space="preserve">P330039 </t>
  </si>
  <si>
    <t xml:space="preserve">P330040 </t>
  </si>
  <si>
    <t xml:space="preserve">P330042 </t>
  </si>
  <si>
    <t xml:space="preserve">P330043 </t>
  </si>
  <si>
    <t xml:space="preserve">P330046 </t>
  </si>
  <si>
    <t xml:space="preserve">B041 </t>
  </si>
  <si>
    <t xml:space="preserve">P330392 </t>
  </si>
  <si>
    <t xml:space="preserve">P330396 </t>
  </si>
  <si>
    <t xml:space="preserve">P330399 </t>
  </si>
  <si>
    <t xml:space="preserve">B050 </t>
  </si>
  <si>
    <t xml:space="preserve">P330393 </t>
  </si>
  <si>
    <t xml:space="preserve">P330395 </t>
  </si>
  <si>
    <t xml:space="preserve">P330400 </t>
  </si>
  <si>
    <t xml:space="preserve">P330405 </t>
  </si>
  <si>
    <t xml:space="preserve">P330409 </t>
  </si>
  <si>
    <t xml:space="preserve">P330410 </t>
  </si>
  <si>
    <t xml:space="preserve">P330401 </t>
  </si>
  <si>
    <t xml:space="preserve">P330397 </t>
  </si>
  <si>
    <t xml:space="preserve">P330398 </t>
  </si>
  <si>
    <t xml:space="preserve">P330132 </t>
  </si>
  <si>
    <t xml:space="preserve">P330406 </t>
  </si>
  <si>
    <t xml:space="preserve">P330407 </t>
  </si>
  <si>
    <t xml:space="preserve">P330408 </t>
  </si>
  <si>
    <t xml:space="preserve">P330138 </t>
  </si>
  <si>
    <t xml:space="preserve">P330411 </t>
  </si>
  <si>
    <t xml:space="preserve">B100 </t>
  </si>
  <si>
    <t xml:space="preserve">P330412 </t>
  </si>
  <si>
    <t xml:space="preserve">P330415 </t>
  </si>
  <si>
    <t xml:space="preserve">P330417 </t>
  </si>
  <si>
    <t xml:space="preserve">P330418 </t>
  </si>
  <si>
    <t xml:space="preserve">P330403 </t>
  </si>
  <si>
    <t xml:space="preserve">P330424 </t>
  </si>
  <si>
    <t xml:space="preserve">P330428 </t>
  </si>
  <si>
    <t xml:space="preserve">B001 </t>
  </si>
  <si>
    <t xml:space="preserve">P330413 </t>
  </si>
  <si>
    <t xml:space="preserve">P330414 </t>
  </si>
  <si>
    <t xml:space="preserve">P330370 </t>
  </si>
  <si>
    <t xml:space="preserve">P330419 </t>
  </si>
  <si>
    <t xml:space="preserve">P330422 </t>
  </si>
  <si>
    <t xml:space="preserve">P330425 </t>
  </si>
  <si>
    <t xml:space="preserve">P330427 </t>
  </si>
  <si>
    <t xml:space="preserve">B009 </t>
  </si>
  <si>
    <t xml:space="preserve">P330416 </t>
  </si>
  <si>
    <t xml:space="preserve">P330420 </t>
  </si>
  <si>
    <t xml:space="preserve">P330421 </t>
  </si>
  <si>
    <t xml:space="preserve">P330423 </t>
  </si>
  <si>
    <t xml:space="preserve">P330426 </t>
  </si>
  <si>
    <t xml:space="preserve">P330429 </t>
  </si>
  <si>
    <t xml:space="preserve">B012 </t>
  </si>
  <si>
    <t xml:space="preserve">P330074 </t>
  </si>
  <si>
    <t xml:space="preserve">B068 </t>
  </si>
  <si>
    <t xml:space="preserve">P330079 </t>
  </si>
  <si>
    <t xml:space="preserve">P330080 </t>
  </si>
  <si>
    <t xml:space="preserve">P330076 </t>
  </si>
  <si>
    <t xml:space="preserve">P330077 </t>
  </si>
  <si>
    <t xml:space="preserve">P330082 </t>
  </si>
  <si>
    <t xml:space="preserve">B071 </t>
  </si>
  <si>
    <t xml:space="preserve">P330085 </t>
  </si>
  <si>
    <t xml:space="preserve">P330087 </t>
  </si>
  <si>
    <t xml:space="preserve">P330086 </t>
  </si>
  <si>
    <t xml:space="preserve">C330075 </t>
  </si>
  <si>
    <t xml:space="preserve">C330493 </t>
  </si>
  <si>
    <t xml:space="preserve">B075 </t>
  </si>
  <si>
    <t xml:space="preserve">P330092 </t>
  </si>
  <si>
    <t xml:space="preserve">P330094 </t>
  </si>
  <si>
    <t xml:space="preserve">P330088 </t>
  </si>
  <si>
    <t xml:space="preserve">B115 </t>
  </si>
  <si>
    <t xml:space="preserve">P330097 </t>
  </si>
  <si>
    <t xml:space="preserve">P330445 </t>
  </si>
  <si>
    <t xml:space="preserve">P330458 </t>
  </si>
  <si>
    <t xml:space="preserve">B053 </t>
  </si>
  <si>
    <t xml:space="preserve">P330435 </t>
  </si>
  <si>
    <t xml:space="preserve">P330436 </t>
  </si>
  <si>
    <t xml:space="preserve">P330444 </t>
  </si>
  <si>
    <t xml:space="preserve">P330447 </t>
  </si>
  <si>
    <t xml:space="preserve">P330453 </t>
  </si>
  <si>
    <t xml:space="preserve">P330455 </t>
  </si>
  <si>
    <t xml:space="preserve">B011 </t>
  </si>
  <si>
    <t xml:space="preserve">P330432 </t>
  </si>
  <si>
    <t xml:space="preserve">P330441 </t>
  </si>
  <si>
    <t xml:space="preserve">P330448 </t>
  </si>
  <si>
    <t xml:space="preserve">P330450 </t>
  </si>
  <si>
    <t xml:space="preserve">P330456 </t>
  </si>
  <si>
    <t xml:space="preserve">P330460 </t>
  </si>
  <si>
    <t xml:space="preserve">B007 </t>
  </si>
  <si>
    <t xml:space="preserve">P330431 </t>
  </si>
  <si>
    <t xml:space="preserve">P330437 </t>
  </si>
  <si>
    <t xml:space="preserve">P330439 </t>
  </si>
  <si>
    <t xml:space="preserve">P330440 </t>
  </si>
  <si>
    <t xml:space="preserve">P330443 </t>
  </si>
  <si>
    <t xml:space="preserve">P330449 </t>
  </si>
  <si>
    <t xml:space="preserve">P330452 </t>
  </si>
  <si>
    <t xml:space="preserve">P330454 </t>
  </si>
  <si>
    <t xml:space="preserve">B010 </t>
  </si>
  <si>
    <t xml:space="preserve">P330433 </t>
  </si>
  <si>
    <t xml:space="preserve">P330434 </t>
  </si>
  <si>
    <t xml:space="preserve">P330438 </t>
  </si>
  <si>
    <t xml:space="preserve">P330442 </t>
  </si>
  <si>
    <t xml:space="preserve">P330477 </t>
  </si>
  <si>
    <t xml:space="preserve">P330483 </t>
  </si>
  <si>
    <t xml:space="preserve">B114 </t>
  </si>
  <si>
    <t xml:space="preserve">P330457 </t>
  </si>
  <si>
    <t xml:space="preserve">P330459 </t>
  </si>
  <si>
    <t xml:space="preserve">B117 </t>
  </si>
  <si>
    <t xml:space="preserve">P330446 </t>
  </si>
  <si>
    <t xml:space="preserve">P330104 </t>
  </si>
  <si>
    <t xml:space="preserve">P330069 </t>
  </si>
  <si>
    <t xml:space="preserve">B037 </t>
  </si>
  <si>
    <t xml:space="preserve">P330102 </t>
  </si>
  <si>
    <t xml:space="preserve">P330101 </t>
  </si>
  <si>
    <t xml:space="preserve">B046 </t>
  </si>
  <si>
    <t xml:space="preserve">P330099 </t>
  </si>
  <si>
    <t xml:space="preserve">P330100 </t>
  </si>
  <si>
    <t xml:space="preserve">P330103 </t>
  </si>
  <si>
    <t xml:space="preserve">P330107 </t>
  </si>
  <si>
    <t xml:space="preserve">P330113 </t>
  </si>
  <si>
    <t xml:space="preserve">P330115 </t>
  </si>
  <si>
    <t xml:space="preserve">B109 </t>
  </si>
  <si>
    <t xml:space="preserve">P330106 </t>
  </si>
  <si>
    <t xml:space="preserve">P330108 </t>
  </si>
  <si>
    <t xml:space="preserve">P330112 </t>
  </si>
  <si>
    <t xml:space="preserve">P330109 </t>
  </si>
  <si>
    <t xml:space="preserve">P330111 </t>
  </si>
  <si>
    <t xml:space="preserve">P330114 </t>
  </si>
  <si>
    <t xml:space="preserve">P330117 </t>
  </si>
  <si>
    <t xml:space="preserve">P330118 </t>
  </si>
  <si>
    <t xml:space="preserve">B112 </t>
  </si>
  <si>
    <t xml:space="preserve">P330110 </t>
  </si>
  <si>
    <t xml:space="preserve">P330463 </t>
  </si>
  <si>
    <t xml:space="preserve">P330464 </t>
  </si>
  <si>
    <t xml:space="preserve">P330467 </t>
  </si>
  <si>
    <t xml:space="preserve">P330469 </t>
  </si>
  <si>
    <t xml:space="preserve">P330474 </t>
  </si>
  <si>
    <t xml:space="preserve">P330480 </t>
  </si>
  <si>
    <t xml:space="preserve">P330481 </t>
  </si>
  <si>
    <t xml:space="preserve">B021 </t>
  </si>
  <si>
    <t xml:space="preserve">P330461 </t>
  </si>
  <si>
    <t xml:space="preserve">P330462 </t>
  </si>
  <si>
    <t xml:space="preserve">P330468 </t>
  </si>
  <si>
    <t xml:space="preserve">P330472 </t>
  </si>
  <si>
    <t xml:space="preserve">B019 </t>
  </si>
  <si>
    <t xml:space="preserve">P330473 </t>
  </si>
  <si>
    <t xml:space="preserve">P330470 </t>
  </si>
  <si>
    <t xml:space="preserve">P330478 </t>
  </si>
  <si>
    <t xml:space="preserve">B097 </t>
  </si>
  <si>
    <t xml:space="preserve">P330465 </t>
  </si>
  <si>
    <t xml:space="preserve">P330466 </t>
  </si>
  <si>
    <t xml:space="preserve">P330475 </t>
  </si>
  <si>
    <t xml:space="preserve">P330476 </t>
  </si>
  <si>
    <t xml:space="preserve">P330484 </t>
  </si>
  <si>
    <t xml:space="preserve">P330485 </t>
  </si>
  <si>
    <t xml:space="preserve">P330486 </t>
  </si>
  <si>
    <t xml:space="preserve">B113 </t>
  </si>
  <si>
    <t xml:space="preserve">P330338 </t>
  </si>
  <si>
    <t xml:space="preserve">P330363 </t>
  </si>
  <si>
    <t xml:space="preserve">P330365 </t>
  </si>
  <si>
    <t xml:space="preserve">P330367 </t>
  </si>
  <si>
    <t xml:space="preserve">P330372 </t>
  </si>
  <si>
    <t xml:space="preserve">P330374 </t>
  </si>
  <si>
    <t xml:space="preserve">P330376 </t>
  </si>
  <si>
    <t xml:space="preserve">P330381 </t>
  </si>
  <si>
    <t xml:space="preserve">P330383 </t>
  </si>
  <si>
    <t xml:space="preserve">P330388 </t>
  </si>
  <si>
    <t xml:space="preserve">P330390 </t>
  </si>
  <si>
    <t xml:space="preserve">B026 </t>
  </si>
  <si>
    <t xml:space="preserve">P330337 </t>
  </si>
  <si>
    <t xml:space="preserve">P330340 </t>
  </si>
  <si>
    <t xml:space="preserve">P330348 </t>
  </si>
  <si>
    <t xml:space="preserve">B031 </t>
  </si>
  <si>
    <t xml:space="preserve">P330368 </t>
  </si>
  <si>
    <t xml:space="preserve">P330373 </t>
  </si>
  <si>
    <t xml:space="preserve">P330375 </t>
  </si>
  <si>
    <t xml:space="preserve">B063 </t>
  </si>
  <si>
    <t xml:space="preserve">P330366 </t>
  </si>
  <si>
    <t xml:space="preserve">P330360 </t>
  </si>
  <si>
    <t xml:space="preserve">P330344 </t>
  </si>
  <si>
    <t xml:space="preserve">P330349 </t>
  </si>
  <si>
    <t xml:space="preserve">P330350 </t>
  </si>
  <si>
    <t xml:space="preserve">P330352 </t>
  </si>
  <si>
    <t xml:space="preserve">P330382 </t>
  </si>
  <si>
    <t xml:space="preserve">P330389 </t>
  </si>
  <si>
    <t xml:space="preserve">P330354 </t>
  </si>
  <si>
    <t xml:space="preserve">B066 </t>
  </si>
  <si>
    <t xml:space="preserve">P330341 </t>
  </si>
  <si>
    <t xml:space="preserve">P330343 </t>
  </si>
  <si>
    <t xml:space="preserve">P330345 </t>
  </si>
  <si>
    <t xml:space="preserve">P330346 </t>
  </si>
  <si>
    <t xml:space="preserve">P330347 </t>
  </si>
  <si>
    <t xml:space="preserve">P330351 </t>
  </si>
  <si>
    <t xml:space="preserve">P330355 </t>
  </si>
  <si>
    <t xml:space="preserve">P330356 </t>
  </si>
  <si>
    <t xml:space="preserve">P330357 </t>
  </si>
  <si>
    <t xml:space="preserve">P330358 </t>
  </si>
  <si>
    <t xml:space="preserve">P330359 </t>
  </si>
  <si>
    <t xml:space="preserve">B014 </t>
  </si>
  <si>
    <t xml:space="preserve">P330364 </t>
  </si>
  <si>
    <t xml:space="preserve">P330377 </t>
  </si>
  <si>
    <t xml:space="preserve">P330379 </t>
  </si>
  <si>
    <t xml:space="preserve">P330380 </t>
  </si>
  <si>
    <t xml:space="preserve">P330385 </t>
  </si>
  <si>
    <t xml:space="preserve">P330387 </t>
  </si>
  <si>
    <t xml:space="preserve">B098 </t>
  </si>
  <si>
    <t xml:space="preserve">P330369 </t>
  </si>
  <si>
    <t xml:space="preserve">P330371 </t>
  </si>
  <si>
    <t xml:space="preserve">P330342 </t>
  </si>
  <si>
    <t xml:space="preserve">P330391 </t>
  </si>
  <si>
    <t xml:space="preserve">B017 </t>
  </si>
  <si>
    <t xml:space="preserve">P330490 </t>
  </si>
  <si>
    <t xml:space="preserve">P330361 </t>
  </si>
  <si>
    <t xml:space="preserve">B122 </t>
  </si>
  <si>
    <t>Wangford</t>
  </si>
  <si>
    <t xml:space="preserve">P330378 </t>
  </si>
  <si>
    <t xml:space="preserve">P330384 </t>
  </si>
  <si>
    <t xml:space="preserve">P330151 </t>
  </si>
  <si>
    <t xml:space="preserve">P330153 </t>
  </si>
  <si>
    <t xml:space="preserve">P330491 </t>
  </si>
  <si>
    <t xml:space="preserve">P330168 </t>
  </si>
  <si>
    <t xml:space="preserve">B082 </t>
  </si>
  <si>
    <t xml:space="preserve">P330003 </t>
  </si>
  <si>
    <t xml:space="preserve">P330143 </t>
  </si>
  <si>
    <t xml:space="preserve">P330147 </t>
  </si>
  <si>
    <t xml:space="preserve">P330150 </t>
  </si>
  <si>
    <t xml:space="preserve">P330154 </t>
  </si>
  <si>
    <t xml:space="preserve">P330155 </t>
  </si>
  <si>
    <t xml:space="preserve">P330160 </t>
  </si>
  <si>
    <t xml:space="preserve">B005 </t>
  </si>
  <si>
    <t xml:space="preserve">P330141 </t>
  </si>
  <si>
    <t xml:space="preserve">P330142 </t>
  </si>
  <si>
    <t xml:space="preserve">P330144 </t>
  </si>
  <si>
    <t xml:space="preserve">P330146 </t>
  </si>
  <si>
    <t xml:space="preserve">P330148 </t>
  </si>
  <si>
    <t xml:space="preserve">P330149 </t>
  </si>
  <si>
    <t xml:space="preserve">P330152 </t>
  </si>
  <si>
    <t xml:space="preserve">P330156 </t>
  </si>
  <si>
    <t xml:space="preserve">P330157 </t>
  </si>
  <si>
    <t xml:space="preserve">P330159 </t>
  </si>
  <si>
    <t xml:space="preserve">P330162 </t>
  </si>
  <si>
    <t xml:space="preserve">P330163 </t>
  </si>
  <si>
    <t xml:space="preserve">P330164 </t>
  </si>
  <si>
    <t xml:space="preserve">P330165 </t>
  </si>
  <si>
    <t xml:space="preserve">P330166 </t>
  </si>
  <si>
    <t xml:space="preserve">P330167 </t>
  </si>
  <si>
    <t xml:space="preserve">B118 </t>
  </si>
  <si>
    <t xml:space="preserve">P330145 </t>
  </si>
  <si>
    <t xml:space="preserve">P330170 </t>
  </si>
  <si>
    <t xml:space="preserve">B119 </t>
  </si>
  <si>
    <t xml:space="preserve">P330171 </t>
  </si>
  <si>
    <t xml:space="preserve">P330028 </t>
  </si>
  <si>
    <t xml:space="preserve">P330018 </t>
  </si>
  <si>
    <t xml:space="preserve">P330430 </t>
  </si>
  <si>
    <t xml:space="preserve">B024 </t>
  </si>
  <si>
    <t xml:space="preserve">B047 </t>
  </si>
  <si>
    <t xml:space="preserve">B060 </t>
  </si>
  <si>
    <t>B111 - Benefice of The Shoreline Benefice</t>
  </si>
  <si>
    <t xml:space="preserve">C330129 </t>
  </si>
  <si>
    <t xml:space="preserve">P330315 </t>
  </si>
  <si>
    <t xml:space="preserve">P330317 </t>
  </si>
  <si>
    <t xml:space="preserve">P330318 </t>
  </si>
  <si>
    <t xml:space="preserve">P330319 </t>
  </si>
  <si>
    <t xml:space="preserve">P330327 </t>
  </si>
  <si>
    <t xml:space="preserve">P330332 </t>
  </si>
  <si>
    <t xml:space="preserve">P330334 </t>
  </si>
  <si>
    <t>Deanery Under allocation</t>
  </si>
  <si>
    <t>Deanery Over allocation</t>
  </si>
  <si>
    <t>P330006 - Parish of Barking with Darmsden</t>
  </si>
  <si>
    <t>P330007 - Parish of Battisford</t>
  </si>
  <si>
    <t>P330017 - Parish of Great Bricett</t>
  </si>
  <si>
    <t>P330054 - Parish of Higham</t>
  </si>
  <si>
    <t>P330082 - Parish of Ipswich St Helen</t>
  </si>
  <si>
    <t>P330104 - Parish of Capel St Mary with Lt. Wenham</t>
  </si>
  <si>
    <t>P330064 - Parish of Polstead</t>
  </si>
  <si>
    <t>P330307 - Parish of Bradfield Combust</t>
  </si>
  <si>
    <t>Payment Method</t>
  </si>
  <si>
    <t>Standing Order</t>
  </si>
  <si>
    <t>Frequency</t>
  </si>
  <si>
    <t>Cheque</t>
  </si>
  <si>
    <t>No</t>
  </si>
  <si>
    <t>Monthly</t>
  </si>
  <si>
    <t>Quarterly</t>
  </si>
  <si>
    <t>BACS</t>
  </si>
  <si>
    <t>Yes</t>
  </si>
  <si>
    <t>Other</t>
  </si>
  <si>
    <t>Both</t>
  </si>
  <si>
    <t>Every 2 Months</t>
  </si>
  <si>
    <t>CBF Deposit</t>
  </si>
  <si>
    <t>No Pattern</t>
  </si>
  <si>
    <t>Code</t>
  </si>
  <si>
    <t>% Received of REVISED target</t>
  </si>
  <si>
    <t>Unallocated</t>
  </si>
  <si>
    <t>Box River Benefice</t>
  </si>
  <si>
    <t>Original Share not apportioned</t>
  </si>
  <si>
    <t>P330089 - Parish of Ipswich St Matthew</t>
  </si>
  <si>
    <t>Under-allocation</t>
  </si>
  <si>
    <t>Great Finborough w Onehouse, Harleston, Buxhall, Shelland, Coombs and Little Finborough Total</t>
  </si>
  <si>
    <t xml:space="preserve">P330089 </t>
  </si>
  <si>
    <t>The Alde Sandlings Benefice</t>
  </si>
  <si>
    <t>B078 - Benefice of Lark Valley with North Bury Team</t>
  </si>
  <si>
    <t>C330129 - Church of The Chapel of St Nicholas, Gipping</t>
  </si>
  <si>
    <t>P330010 - Parish of Creeting St Mary</t>
  </si>
  <si>
    <t>P330022 - Parish of Nettlestead</t>
  </si>
  <si>
    <t>P330025 - Parish of Somersham</t>
  </si>
  <si>
    <t>P330031 - Parish of Brightwell</t>
  </si>
  <si>
    <t>P330034 - Parish of Felixstowe St John</t>
  </si>
  <si>
    <t>P330058 - Parish of Layham</t>
  </si>
  <si>
    <t>P330059 - Parish of Leavenheath</t>
  </si>
  <si>
    <t>P330063 - Parish of Nedging</t>
  </si>
  <si>
    <t>P330065 - Parish of Raydon</t>
  </si>
  <si>
    <t>P330094 - Parish of Rushmere St Andrew</t>
  </si>
  <si>
    <t>P330114 - Parish of Stutton</t>
  </si>
  <si>
    <t>P330120 - Parish of Buxhall</t>
  </si>
  <si>
    <t>P330130 - Parish of Onehouse</t>
  </si>
  <si>
    <t>P330143 - Parish of Boulge</t>
  </si>
  <si>
    <t>P330148 - Parish of Butley</t>
  </si>
  <si>
    <t>P330151 - Parish of Culpho</t>
  </si>
  <si>
    <t>P330156 - Parish of Hollesley</t>
  </si>
  <si>
    <t>P330162 - Parish of Ramsholt</t>
  </si>
  <si>
    <t>P330163 - Parish of Rendlesham St Gregory and St Felix</t>
  </si>
  <si>
    <t>P330174 - Parish of Chedburgh</t>
  </si>
  <si>
    <t>P330183 - Parish of Kedington</t>
  </si>
  <si>
    <t>P330188 - Parish of Stansfield</t>
  </si>
  <si>
    <t>P330198 - Parish of Barnham</t>
  </si>
  <si>
    <t>P330200 - Parish of Coney Weston</t>
  </si>
  <si>
    <t>P330201 - Parish of Euston</t>
  </si>
  <si>
    <t>P330203 - Parish of Great Ashfield</t>
  </si>
  <si>
    <t>P330207 - Parish of Honington with Sapiston</t>
  </si>
  <si>
    <t>P330208 - Parish of Hopton</t>
  </si>
  <si>
    <t>P330210 - Parish of Ixworth with Ixworth Thorpe</t>
  </si>
  <si>
    <t>P330213 - Parish of Market Weston</t>
  </si>
  <si>
    <t>P330216 - Parish of Stanton</t>
  </si>
  <si>
    <t>P330221 - Parish of Troston</t>
  </si>
  <si>
    <t>P330227 - Parish of Brent Eleigh</t>
  </si>
  <si>
    <t>P330238 - Parish of Kettlebaston</t>
  </si>
  <si>
    <t>P330243 - Parish of Milden</t>
  </si>
  <si>
    <t>P330249 - Parish of Thorpe Morieux</t>
  </si>
  <si>
    <t>P330252 - Parish of Beck Row with Kenny Hill</t>
  </si>
  <si>
    <t>P330259 - Parish of Elveden</t>
  </si>
  <si>
    <t>P330260 - Parish of Eriswell</t>
  </si>
  <si>
    <t>P330264 - Parish of Freckenham</t>
  </si>
  <si>
    <t>P330265 - Parish of Gazeley</t>
  </si>
  <si>
    <t>P330276 - Parish of Ousden</t>
  </si>
  <si>
    <t>P330282 - Parish of Acton</t>
  </si>
  <si>
    <t>P330293 - Parish of Groton</t>
  </si>
  <si>
    <t>P330302 - Parish of Sudbury All Saints</t>
  </si>
  <si>
    <t>P330321 - Parish of Horringer</t>
  </si>
  <si>
    <t>P330326 - Parish of Ingham with Ampton &amp; Great &amp; Little Livermere</t>
  </si>
  <si>
    <t>P330331 - Parish of Stanningfield</t>
  </si>
  <si>
    <t>P330337 - Parish of Barsham with Shipmeadow</t>
  </si>
  <si>
    <t>P330340 - Parish of Bungay</t>
  </si>
  <si>
    <t>P330346 - Parish of Ilketshall St Lawrence</t>
  </si>
  <si>
    <t>P330377 - Parish of Reydon</t>
  </si>
  <si>
    <t>P330379 - Parish of South Cove</t>
  </si>
  <si>
    <t>P330387 - Parish of Wangford</t>
  </si>
  <si>
    <t>P330388 - Parish of Wenhaston</t>
  </si>
  <si>
    <t>P330419 - Parish of Laxfield</t>
  </si>
  <si>
    <t>P330429 - Parish of Withersdale</t>
  </si>
  <si>
    <t>P330438 - Parish of Cransford</t>
  </si>
  <si>
    <t>P330441 - Parish of Debenham</t>
  </si>
  <si>
    <t>P330447 - Parish of Hacheston</t>
  </si>
  <si>
    <t>P330455 - Parish of Parham</t>
  </si>
  <si>
    <t>P330468 - Parish of Friston</t>
  </si>
  <si>
    <t>P330475 - Parish of Middleton cum Fordley</t>
  </si>
  <si>
    <t>P330476 - Parish of Peasenhall</t>
  </si>
  <si>
    <t>P330480 - Parish of Snape</t>
  </si>
  <si>
    <t>P330486 - Parish of Yoxford</t>
  </si>
  <si>
    <t>P330494 - Parish of Bury St Edmunds Christ Church</t>
  </si>
  <si>
    <t>Ipswich Archdeaconry</t>
  </si>
  <si>
    <t>P330016 - Parish of Great Blakenham</t>
  </si>
  <si>
    <t>P330018 - Parish of Hemingstone</t>
  </si>
  <si>
    <t>P330070 - Parish of Whatfield</t>
  </si>
  <si>
    <t>P330072 - Parish of Stratford St Mary</t>
  </si>
  <si>
    <t>P330076 - Parish of Ipswich Holy Trinity</t>
  </si>
  <si>
    <t>P330087 - Parish of Ipswich St Mary Le Tower</t>
  </si>
  <si>
    <t>P330110 - Parish of Harkstead</t>
  </si>
  <si>
    <t>P330136 - Parish of Westhorpe</t>
  </si>
  <si>
    <t>P330158 - Parish of Little Bealings</t>
  </si>
  <si>
    <t>P330172 - Parish of Barnardiston</t>
  </si>
  <si>
    <t>P330173 - Parish of Cavendish</t>
  </si>
  <si>
    <t>P330178 - Parish of Great Bradley</t>
  </si>
  <si>
    <t>P330179 - Parish of Great Thurlow</t>
  </si>
  <si>
    <t>P330184 - Parish of Little Bradley</t>
  </si>
  <si>
    <t>P330192 - Parish of Withersfield</t>
  </si>
  <si>
    <t>P330196 - Parish of Badwell Ash</t>
  </si>
  <si>
    <t>P330202 - Parish of Fakenham Magna</t>
  </si>
  <si>
    <t>P330222 - Parish of Walsham-le-Willows</t>
  </si>
  <si>
    <t>P330228 - Parish of Brettenham</t>
  </si>
  <si>
    <t>P330235 - Parish of Great Whelnetham</t>
  </si>
  <si>
    <t>P330257 - Parish of Cowlinge</t>
  </si>
  <si>
    <t>P330267 - Parish of Higham Green</t>
  </si>
  <si>
    <t>P330316 - Parish of Denham St Mary</t>
  </si>
  <si>
    <t>P330328 - Parish of Little Saxham</t>
  </si>
  <si>
    <t>P330329 - Parish of Nowton</t>
  </si>
  <si>
    <t>P330341 - Parish of Flixton</t>
  </si>
  <si>
    <t>P330365 - Parish of Bramfield</t>
  </si>
  <si>
    <t>P330371 - Parish of Frostenden</t>
  </si>
  <si>
    <t>P330372 - Parish of Halesworth</t>
  </si>
  <si>
    <t>P330403 - Parish of Redlingfield</t>
  </si>
  <si>
    <t>P330405 - Parish of Stuston</t>
  </si>
  <si>
    <t>P330412 - Parish of Athelington</t>
  </si>
  <si>
    <t>P330418 - Parish of Hoxne</t>
  </si>
  <si>
    <t>P330421 - Parish of Metfield</t>
  </si>
  <si>
    <t>P330422 - Parish of Monk Soham</t>
  </si>
  <si>
    <t>P330423 - Parish of Stradbroke</t>
  </si>
  <si>
    <t>P330426 - Parish of Weybread</t>
  </si>
  <si>
    <t>P330430 - Parish of Worlingworth with Southolt</t>
  </si>
  <si>
    <t>P330432 - Parish of Aspall</t>
  </si>
  <si>
    <t>P330435 - Parish of Brandeston</t>
  </si>
  <si>
    <t>P330437 - Charsfield with Debach</t>
  </si>
  <si>
    <t>P330440 - Parish of Dallinghoo</t>
  </si>
  <si>
    <t>P330446 - Parish of Framsden</t>
  </si>
  <si>
    <t>P330449 - Parish of Hoo</t>
  </si>
  <si>
    <t>P330451 - Parish of Kettleburgh</t>
  </si>
  <si>
    <t>P330465 - Parish of Darsham</t>
  </si>
  <si>
    <t>P330470 - Parish of Kelsale cum Carlton</t>
  </si>
  <si>
    <t>P330472 - Parish of Knodishall</t>
  </si>
  <si>
    <t>% Received of  ORIGINAL target</t>
  </si>
  <si>
    <t>B110 - Benefice of The Saint Edmund Way Benefice</t>
  </si>
  <si>
    <t>P330050 - Parish of Bildeston</t>
  </si>
  <si>
    <t>P330144 - Parish of Boyton</t>
  </si>
  <si>
    <t>P330145 - Parish of Bredfield</t>
  </si>
  <si>
    <t>P330149 - Parish of Chillesford</t>
  </si>
  <si>
    <t>P330161 - Parish of Playford</t>
  </si>
  <si>
    <t>P330166 - Parish of Sutton</t>
  </si>
  <si>
    <t>P330185 - Parish of Little Thurlow</t>
  </si>
  <si>
    <t>P330190 - Parish of Stradishall</t>
  </si>
  <si>
    <t>P330223 - Parish of Wattisfield</t>
  </si>
  <si>
    <t>P330269 - Parish of Kentford</t>
  </si>
  <si>
    <t>P330274 - Parish of Newmarket All Saints</t>
  </si>
  <si>
    <t>P330275 - Parish of Newmarket St Mary</t>
  </si>
  <si>
    <t>P330290 - Parish of Edwardstone</t>
  </si>
  <si>
    <t>P330304 - Parish of Little Waldingfield</t>
  </si>
  <si>
    <t>P330323 - Parish of Great Saxham</t>
  </si>
  <si>
    <t>P330342 - Parish of Henstead with Hulver</t>
  </si>
  <si>
    <t>P330349 - Parish of Redisham</t>
  </si>
  <si>
    <t>P330357 - Parish of St Margaret South Elmham</t>
  </si>
  <si>
    <t>P330358 - Parish of St Michael South Elmham</t>
  </si>
  <si>
    <t>P330360 - Parish of Ellough &amp; Weston</t>
  </si>
  <si>
    <t>P330367 - Parish of Chediston</t>
  </si>
  <si>
    <t>P330393 - Parish of Brome with Oakley UP</t>
  </si>
  <si>
    <t>P330409 - Parish of Thrandeston</t>
  </si>
  <si>
    <t>P330417 - Parish of Horham</t>
  </si>
  <si>
    <t>Revised Deanery Total Net of Waivers</t>
  </si>
  <si>
    <t>Revised Deanery Total Net Waivers</t>
  </si>
  <si>
    <t>No payment to date</t>
  </si>
  <si>
    <t xml:space="preserve">Payment Analysis </t>
  </si>
  <si>
    <t>By Benefice</t>
  </si>
  <si>
    <t>Paid more than 100%</t>
  </si>
  <si>
    <t>Paid 100%</t>
  </si>
  <si>
    <t>Total</t>
  </si>
  <si>
    <t>On or ahead of Target</t>
  </si>
  <si>
    <t>Behind Target</t>
  </si>
  <si>
    <t>On or ahead of target</t>
  </si>
  <si>
    <t>Behind target</t>
  </si>
  <si>
    <t>Overall Total</t>
  </si>
  <si>
    <t>P330023 - Parish of Offton</t>
  </si>
  <si>
    <t>P330052 - Parish of Elmsett</t>
  </si>
  <si>
    <t>P330111 - Parish of Holbrook</t>
  </si>
  <si>
    <t>P330152 - Parish of Eyke</t>
  </si>
  <si>
    <t>P330153 - Parish of Great Bealings</t>
  </si>
  <si>
    <t>P330218 - Parish of Thelnetham</t>
  </si>
  <si>
    <t>P330224 - Parish of Beyton with Hessett</t>
  </si>
  <si>
    <t>P330237 - Parish of Hitcham</t>
  </si>
  <si>
    <t>P330247 - Parish of Rougham</t>
  </si>
  <si>
    <t>P330271 - Parish of Lidgate</t>
  </si>
  <si>
    <t>P330343 - Parish of Homersfield</t>
  </si>
  <si>
    <t>P330364 - Parish of Blythburgh</t>
  </si>
  <si>
    <t>P330376 - Parish of Linstead Parva</t>
  </si>
  <si>
    <t>P330382 - Parish of Stoven</t>
  </si>
  <si>
    <t>P330414 - Parish of Brundish</t>
  </si>
  <si>
    <t>P330415 - Parish of Denham St John</t>
  </si>
  <si>
    <t>P330014 - Parish of Flowton</t>
  </si>
  <si>
    <t>P330294 - Parish of Hartest with Boxted</t>
  </si>
  <si>
    <t>P330348 - Parish of Mettingham</t>
  </si>
  <si>
    <t>P330351 - Parish of Rumburgh with All Saints South Elmham &amp; St Nicholas South Elmham</t>
  </si>
  <si>
    <t>P330356 - Parish of St James South Elmham</t>
  </si>
  <si>
    <t>P330359 - Parish of St Peter South Elmham</t>
  </si>
  <si>
    <t>P330368 - Parish of Cookley</t>
  </si>
  <si>
    <t>P330389 - Parish of Westhall</t>
  </si>
  <si>
    <t>B021 - Benefice of Alde River Benefice</t>
  </si>
  <si>
    <t>P330123 - Parish of Finningham</t>
  </si>
  <si>
    <t>P330205 - Parish of Hepworth</t>
  </si>
  <si>
    <t>P330209 - Parish of Hunston</t>
  </si>
  <si>
    <t>P330217 - Parish of Stowlangtoft</t>
  </si>
  <si>
    <t>P330266 - Parish of Herringswell</t>
  </si>
  <si>
    <t>P330283 - Parish of Alpheton and Shimplingthorne</t>
  </si>
  <si>
    <t>P330354 - Parish of Willingham &amp; Sotterley</t>
  </si>
  <si>
    <t>P330481 - Parish of Sternfield</t>
  </si>
  <si>
    <t>Waveney</t>
  </si>
  <si>
    <t>Actual</t>
  </si>
  <si>
    <t>Column1</t>
  </si>
  <si>
    <t>Column2</t>
  </si>
  <si>
    <t>P330369 - Covehithe with Benacre</t>
  </si>
  <si>
    <t>P330373 - Parish of Heveningham with Ubbeston</t>
  </si>
  <si>
    <t>P330391 - Parish of Wrentham</t>
  </si>
  <si>
    <t>P330099 - Parish of Belstead</t>
  </si>
  <si>
    <t>P330361 - Parish of Worlingham</t>
  </si>
  <si>
    <t>P330300 - Parish of Somerton</t>
  </si>
  <si>
    <t>P330301 - Parish of Stanstead</t>
  </si>
  <si>
    <t>P330452 - Parish of Letheringham</t>
  </si>
  <si>
    <t>P330490 - Parish of Barnby and North Cove</t>
  </si>
  <si>
    <t>P330176 - Parish of Denston</t>
  </si>
  <si>
    <t xml:space="preserve">P330344 - Parish of Ilkeshall St Andrew </t>
  </si>
  <si>
    <t>Total at 31st October 2019</t>
  </si>
  <si>
    <t>P330020 - Parish of Little Blakenham</t>
  </si>
  <si>
    <t>P330085 - Parish of Ipswich St Margaret</t>
  </si>
  <si>
    <t>P330061 - Parish of Naughton</t>
  </si>
  <si>
    <t>P330056 - Parish of Holton St Mary</t>
  </si>
  <si>
    <t>P330068 - Parish of Stoke-by-Nayland</t>
  </si>
  <si>
    <t>P330103 - Parish of Burstall</t>
  </si>
  <si>
    <t>Wantisden</t>
  </si>
  <si>
    <t>P330169</t>
  </si>
  <si>
    <t>(Note Target payment at 30th November =91.67%)</t>
  </si>
  <si>
    <t>Less Waivers (noted above)</t>
  </si>
  <si>
    <t>B118 - Benefice of Wilford Peninsula</t>
  </si>
  <si>
    <t>P330118 - Parish of Woolverstone</t>
  </si>
  <si>
    <t>P330194 - Parish of Great Wratting</t>
  </si>
  <si>
    <t>P330375 - Parish of Huntingfield</t>
  </si>
  <si>
    <t>P330325 -Parish of Hawstead</t>
  </si>
  <si>
    <t>P330141 - Parish of Alderton</t>
  </si>
  <si>
    <t>P330195 -Parish of Little Wratting</t>
  </si>
  <si>
    <t>P330212 - Parish of Langham</t>
  </si>
  <si>
    <t>B023 - Benefice Of Badwell &amp; Walsham</t>
  </si>
  <si>
    <t>P330363 - Parish of Blyford</t>
  </si>
  <si>
    <t>no more</t>
  </si>
  <si>
    <t>P330169 - Parish of Wantisden</t>
  </si>
  <si>
    <t>P330355 - Parish of St Cross South Elmham</t>
  </si>
  <si>
    <t>P330245 - Pqarish of Preston</t>
  </si>
  <si>
    <t>To be allocated</t>
  </si>
  <si>
    <t>Over Allocation</t>
  </si>
  <si>
    <t xml:space="preserve">Ipswich St Bartholomew </t>
  </si>
  <si>
    <t xml:space="preserve">Mission Ipswich East </t>
  </si>
  <si>
    <t>Benefice Contribution</t>
  </si>
  <si>
    <t>Revised Deanery Total Of Waivers</t>
  </si>
  <si>
    <t>Revised Deanery Total of Waivers</t>
  </si>
  <si>
    <t>Thingoe Deanery</t>
  </si>
  <si>
    <t>P330093</t>
  </si>
  <si>
    <t>P330158</t>
  </si>
  <si>
    <t>Little Bealings</t>
  </si>
  <si>
    <t>Playford</t>
  </si>
  <si>
    <t>P330161</t>
  </si>
  <si>
    <t>Deanery Donation</t>
  </si>
  <si>
    <t>Red Lodge</t>
  </si>
  <si>
    <t>P330279B</t>
  </si>
  <si>
    <t>D7</t>
  </si>
  <si>
    <t>Forest Heath Team Ministry</t>
  </si>
  <si>
    <t>Gipping Valley</t>
  </si>
  <si>
    <t>Gipping Valley Deanery:</t>
  </si>
  <si>
    <t>Over-allocation</t>
  </si>
  <si>
    <t>Benefice allocation</t>
  </si>
  <si>
    <t>Exning St Agnes</t>
  </si>
  <si>
    <t>Overpayment (keep to no decreases)</t>
  </si>
  <si>
    <t>Balance to be allocated</t>
  </si>
  <si>
    <t>Under allocation (DO support funds)</t>
  </si>
  <si>
    <t>Hartismere &amp; Hoxne</t>
  </si>
  <si>
    <t>Hartismere &amp; Hoxne Deanery:</t>
  </si>
  <si>
    <t>Beccles, Worlingham w Barnby &amp; North Cove Total</t>
  </si>
  <si>
    <t>gt Cornard</t>
  </si>
  <si>
    <t>sud all sts</t>
  </si>
  <si>
    <t>Stanton, Hopton, Market Weston, Barningham &amp; Coney Weston &amp; Hepworth w Hinderclay, &amp; Thelnetham Total</t>
  </si>
  <si>
    <t>The Orwell and Deben Rural Benefice</t>
  </si>
  <si>
    <t>P330363BVTC</t>
  </si>
  <si>
    <t>Blyth Valley Team Council</t>
  </si>
  <si>
    <t xml:space="preserve">P330081 </t>
  </si>
  <si>
    <t>Ipswich St Francis</t>
  </si>
  <si>
    <t>Ipswich St Mary Stoke</t>
  </si>
  <si>
    <t>P330488</t>
  </si>
  <si>
    <t>Ipswich St Peter</t>
  </si>
  <si>
    <t>Parish Share 2022</t>
  </si>
  <si>
    <t>Deanery 2021</t>
  </si>
  <si>
    <t>Wilford balance to be allocated (over-allocation)</t>
  </si>
  <si>
    <t>Parish share allocated to be reduced due to resourcing changes)</t>
  </si>
  <si>
    <t>Contribution from Lightwave (from 28th June 2022)</t>
  </si>
  <si>
    <t>1st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</si>
</sst>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-&quot;£&quot;* #,##0_-;\-&quot;£&quot;* #,##0_-;_-&quot;£&quot;* &quot;-&quot;??_-;_-@_-"/>
    <numFmt numFmtId="166" formatCode="_-&quot;£&quot;* #,##0_-;\(&quot;£&quot;* #,##0\)_-;_-&quot;£&quot;* &quot;-&quot;??_-;_-@_-"/>
    <numFmt numFmtId="167" formatCode="&quot;£&quot;#,##0"/>
    <numFmt numFmtId="168" formatCode="&quot;£&quot;#,##0.00"/>
    <numFmt numFmtId="169" formatCode="#0"/>
    <numFmt numFmtId="170" formatCode="_-* #,##0_-;\-* #,##0_-;_-* &quot;-&quot;??_-;_-@_-"/>
  </numFmts>
  <fonts count="28" x14ac:knownFonts="1"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Century Gothic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</font>
    <font>
      <sz val="11"/>
      <color rgb="FFDC143C"/>
      <name val="Calibri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</font>
    <font>
      <b/>
      <sz val="18"/>
      <name val="Century Gothic"/>
      <family val="2"/>
    </font>
    <font>
      <b/>
      <sz val="14"/>
      <name val="Century Gothic"/>
      <family val="2"/>
    </font>
    <font>
      <b/>
      <sz val="28"/>
      <name val="Tahoma"/>
      <family val="2"/>
    </font>
    <font>
      <sz val="28"/>
      <name val="Tahoma"/>
      <family val="2"/>
    </font>
    <font>
      <b/>
      <sz val="11"/>
      <color rgb="FF0070C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EB0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14" fillId="0" borderId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/>
  </cellStyleXfs>
  <cellXfs count="6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0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 wrapText="1"/>
    </xf>
    <xf numFmtId="167" fontId="0" fillId="0" borderId="8" xfId="0" applyNumberFormat="1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7" fillId="2" borderId="9" xfId="3" applyFont="1" applyFill="1" applyBorder="1" applyAlignment="1">
      <alignment horizontal="center"/>
    </xf>
    <xf numFmtId="0" fontId="7" fillId="0" borderId="10" xfId="3" applyFont="1" applyFill="1" applyBorder="1" applyAlignment="1">
      <alignment horizontal="right" wrapText="1"/>
    </xf>
    <xf numFmtId="7" fontId="7" fillId="0" borderId="10" xfId="3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7" fontId="0" fillId="0" borderId="0" xfId="0" applyNumberFormat="1"/>
    <xf numFmtId="168" fontId="0" fillId="0" borderId="0" xfId="0" applyNumberFormat="1"/>
    <xf numFmtId="167" fontId="0" fillId="0" borderId="0" xfId="0" applyNumberFormat="1"/>
    <xf numFmtId="3" fontId="0" fillId="0" borderId="0" xfId="0" applyNumberFormat="1"/>
    <xf numFmtId="9" fontId="0" fillId="0" borderId="0" xfId="1" applyFont="1"/>
    <xf numFmtId="0" fontId="7" fillId="0" borderId="0" xfId="3" applyFont="1" applyFill="1" applyBorder="1" applyAlignment="1">
      <alignment horizontal="right" wrapText="1"/>
    </xf>
    <xf numFmtId="7" fontId="7" fillId="0" borderId="0" xfId="3" applyNumberFormat="1" applyFont="1" applyFill="1" applyBorder="1" applyAlignment="1">
      <alignment horizontal="right" wrapText="1"/>
    </xf>
    <xf numFmtId="0" fontId="0" fillId="0" borderId="0" xfId="0" applyNumberFormat="1" applyFont="1"/>
    <xf numFmtId="4" fontId="0" fillId="0" borderId="0" xfId="0" applyNumberFormat="1" applyFont="1"/>
    <xf numFmtId="166" fontId="4" fillId="0" borderId="0" xfId="0" applyNumberFormat="1" applyFont="1"/>
    <xf numFmtId="0" fontId="0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167" fontId="0" fillId="0" borderId="0" xfId="1" applyNumberFormat="1" applyFont="1"/>
    <xf numFmtId="0" fontId="9" fillId="0" borderId="0" xfId="5" applyFont="1" applyFill="1" applyBorder="1" applyAlignment="1"/>
    <xf numFmtId="0" fontId="10" fillId="0" borderId="0" xfId="0" applyFont="1"/>
    <xf numFmtId="0" fontId="9" fillId="0" borderId="0" xfId="0" applyFont="1"/>
    <xf numFmtId="0" fontId="0" fillId="3" borderId="0" xfId="0" applyNumberFormat="1" applyFont="1" applyFill="1"/>
    <xf numFmtId="0" fontId="0" fillId="0" borderId="0" xfId="0" applyNumberFormat="1" applyFont="1" applyFill="1"/>
    <xf numFmtId="0" fontId="4" fillId="0" borderId="8" xfId="0" applyFont="1" applyBorder="1" applyAlignment="1">
      <alignment horizontal="center" vertical="center" wrapText="1"/>
    </xf>
    <xf numFmtId="0" fontId="2" fillId="4" borderId="0" xfId="0" applyFont="1" applyFill="1"/>
    <xf numFmtId="10" fontId="2" fillId="4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0" fontId="1" fillId="4" borderId="0" xfId="0" applyFont="1" applyFill="1"/>
    <xf numFmtId="0" fontId="4" fillId="4" borderId="0" xfId="0" applyFont="1" applyFill="1"/>
    <xf numFmtId="0" fontId="0" fillId="4" borderId="0" xfId="0" applyFont="1" applyFill="1"/>
    <xf numFmtId="10" fontId="0" fillId="4" borderId="1" xfId="1" applyNumberFormat="1" applyFont="1" applyFill="1" applyBorder="1"/>
    <xf numFmtId="10" fontId="0" fillId="4" borderId="2" xfId="1" applyNumberFormat="1" applyFont="1" applyFill="1" applyBorder="1"/>
    <xf numFmtId="10" fontId="4" fillId="4" borderId="1" xfId="1" applyNumberFormat="1" applyFont="1" applyFill="1" applyBorder="1"/>
    <xf numFmtId="165" fontId="10" fillId="4" borderId="0" xfId="0" applyNumberFormat="1" applyFont="1" applyFill="1"/>
    <xf numFmtId="10" fontId="0" fillId="4" borderId="15" xfId="1" applyNumberFormat="1" applyFont="1" applyFill="1" applyBorder="1"/>
    <xf numFmtId="10" fontId="0" fillId="4" borderId="8" xfId="1" applyNumberFormat="1" applyFont="1" applyFill="1" applyBorder="1"/>
    <xf numFmtId="10" fontId="4" fillId="4" borderId="15" xfId="1" applyNumberFormat="1" applyFont="1" applyFill="1" applyBorder="1"/>
    <xf numFmtId="166" fontId="0" fillId="4" borderId="15" xfId="0" applyNumberFormat="1" applyFill="1" applyBorder="1"/>
    <xf numFmtId="166" fontId="0" fillId="4" borderId="8" xfId="0" applyNumberFormat="1" applyFill="1" applyBorder="1"/>
    <xf numFmtId="166" fontId="4" fillId="4" borderId="15" xfId="0" applyNumberFormat="1" applyFont="1" applyFill="1" applyBorder="1"/>
    <xf numFmtId="166" fontId="4" fillId="4" borderId="16" xfId="0" applyNumberFormat="1" applyFont="1" applyFill="1" applyBorder="1"/>
    <xf numFmtId="0" fontId="0" fillId="4" borderId="15" xfId="0" applyFill="1" applyBorder="1"/>
    <xf numFmtId="0" fontId="4" fillId="4" borderId="15" xfId="0" applyFont="1" applyFill="1" applyBorder="1"/>
    <xf numFmtId="164" fontId="4" fillId="4" borderId="14" xfId="0" applyNumberFormat="1" applyFont="1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4" borderId="17" xfId="0" applyFill="1" applyBorder="1"/>
    <xf numFmtId="0" fontId="4" fillId="4" borderId="13" xfId="0" applyFont="1" applyFill="1" applyBorder="1"/>
    <xf numFmtId="10" fontId="4" fillId="4" borderId="19" xfId="1" applyNumberFormat="1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10" fontId="4" fillId="4" borderId="18" xfId="1" applyNumberFormat="1" applyFont="1" applyFill="1" applyBorder="1" applyAlignment="1">
      <alignment horizontal="center" wrapText="1"/>
    </xf>
    <xf numFmtId="0" fontId="4" fillId="4" borderId="20" xfId="0" applyFont="1" applyFill="1" applyBorder="1"/>
    <xf numFmtId="166" fontId="4" fillId="4" borderId="20" xfId="0" applyNumberFormat="1" applyFont="1" applyFill="1" applyBorder="1"/>
    <xf numFmtId="0" fontId="0" fillId="0" borderId="0" xfId="0" applyBorder="1"/>
    <xf numFmtId="0" fontId="0" fillId="0" borderId="31" xfId="0" applyBorder="1"/>
    <xf numFmtId="0" fontId="4" fillId="0" borderId="56" xfId="0" applyFont="1" applyBorder="1"/>
    <xf numFmtId="0" fontId="12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23" xfId="0" applyBorder="1" applyAlignment="1">
      <alignment wrapText="1"/>
    </xf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0" fillId="0" borderId="32" xfId="0" applyBorder="1"/>
    <xf numFmtId="0" fontId="0" fillId="0" borderId="0" xfId="0" applyBorder="1" applyAlignment="1">
      <alignment wrapText="1"/>
    </xf>
    <xf numFmtId="0" fontId="4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31" xfId="0" quotePrefix="1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3" xfId="0" applyBorder="1"/>
    <xf numFmtId="10" fontId="0" fillId="4" borderId="15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10" fontId="4" fillId="4" borderId="20" xfId="1" applyNumberFormat="1" applyFont="1" applyFill="1" applyBorder="1" applyAlignment="1">
      <alignment horizontal="center"/>
    </xf>
    <xf numFmtId="10" fontId="4" fillId="4" borderId="7" xfId="1" applyNumberFormat="1" applyFont="1" applyFill="1" applyBorder="1" applyAlignment="1">
      <alignment horizontal="center"/>
    </xf>
    <xf numFmtId="10" fontId="4" fillId="4" borderId="16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9" fontId="13" fillId="0" borderId="0" xfId="1" applyFont="1" applyBorder="1" applyAlignment="1">
      <alignment horizontal="center"/>
    </xf>
    <xf numFmtId="166" fontId="0" fillId="0" borderId="17" xfId="0" applyNumberFormat="1" applyFill="1" applyBorder="1"/>
    <xf numFmtId="0" fontId="4" fillId="0" borderId="0" xfId="0" applyFont="1" applyFill="1"/>
    <xf numFmtId="10" fontId="4" fillId="0" borderId="0" xfId="1" applyNumberFormat="1" applyFont="1" applyFill="1"/>
    <xf numFmtId="0" fontId="14" fillId="6" borderId="11" xfId="6" applyNumberFormat="1" applyFont="1" applyFill="1" applyBorder="1"/>
    <xf numFmtId="0" fontId="14" fillId="0" borderId="0" xfId="6" applyNumberFormat="1" applyFont="1"/>
    <xf numFmtId="3" fontId="15" fillId="0" borderId="0" xfId="6" applyNumberFormat="1" applyFont="1" applyAlignment="1">
      <alignment horizontal="right"/>
    </xf>
    <xf numFmtId="3" fontId="14" fillId="0" borderId="0" xfId="6" applyNumberFormat="1" applyFont="1" applyAlignment="1">
      <alignment horizontal="right"/>
    </xf>
    <xf numFmtId="169" fontId="14" fillId="0" borderId="0" xfId="6" applyNumberFormat="1" applyFont="1" applyAlignment="1">
      <alignment horizontal="right"/>
    </xf>
    <xf numFmtId="0" fontId="0" fillId="5" borderId="0" xfId="0" applyNumberFormat="1" applyFont="1" applyFill="1"/>
    <xf numFmtId="0" fontId="0" fillId="7" borderId="0" xfId="0" applyNumberFormat="1" applyFont="1" applyFill="1"/>
    <xf numFmtId="0" fontId="0" fillId="8" borderId="0" xfId="0" applyNumberFormat="1" applyFont="1" applyFill="1"/>
    <xf numFmtId="0" fontId="0" fillId="9" borderId="0" xfId="0" applyNumberFormat="1" applyFont="1" applyFill="1"/>
    <xf numFmtId="0" fontId="0" fillId="10" borderId="0" xfId="0" applyNumberFormat="1" applyFont="1" applyFill="1"/>
    <xf numFmtId="0" fontId="0" fillId="11" borderId="0" xfId="0" applyNumberFormat="1" applyFont="1" applyFill="1"/>
    <xf numFmtId="0" fontId="0" fillId="11" borderId="0" xfId="0" applyNumberFormat="1" applyFont="1" applyFill="1" applyBorder="1"/>
    <xf numFmtId="0" fontId="0" fillId="12" borderId="0" xfId="0" applyNumberFormat="1" applyFont="1" applyFill="1"/>
    <xf numFmtId="0" fontId="0" fillId="13" borderId="0" xfId="0" applyNumberFormat="1" applyFont="1" applyFill="1"/>
    <xf numFmtId="0" fontId="0" fillId="14" borderId="0" xfId="0" applyNumberFormat="1" applyFont="1" applyFill="1"/>
    <xf numFmtId="0" fontId="0" fillId="15" borderId="0" xfId="0" applyNumberFormat="1" applyFont="1" applyFill="1"/>
    <xf numFmtId="0" fontId="0" fillId="16" borderId="0" xfId="0" applyNumberFormat="1" applyFont="1" applyFill="1"/>
    <xf numFmtId="0" fontId="0" fillId="17" borderId="0" xfId="0" applyNumberFormat="1" applyFont="1" applyFill="1"/>
    <xf numFmtId="0" fontId="0" fillId="18" borderId="0" xfId="0" applyNumberFormat="1" applyFont="1" applyFill="1"/>
    <xf numFmtId="0" fontId="0" fillId="19" borderId="0" xfId="0" applyNumberFormat="1" applyFont="1" applyFill="1"/>
    <xf numFmtId="0" fontId="0" fillId="20" borderId="0" xfId="0" applyNumberFormat="1" applyFont="1" applyFill="1"/>
    <xf numFmtId="0" fontId="0" fillId="21" borderId="0" xfId="0" applyNumberFormat="1" applyFont="1" applyFill="1"/>
    <xf numFmtId="0" fontId="0" fillId="22" borderId="0" xfId="0" applyNumberFormat="1" applyFont="1" applyFill="1"/>
    <xf numFmtId="170" fontId="0" fillId="0" borderId="0" xfId="7" applyNumberFormat="1" applyFont="1"/>
    <xf numFmtId="0" fontId="5" fillId="0" borderId="15" xfId="2" applyFill="1" applyBorder="1"/>
    <xf numFmtId="170" fontId="0" fillId="0" borderId="0" xfId="8" applyNumberFormat="1" applyFont="1"/>
    <xf numFmtId="0" fontId="16" fillId="0" borderId="0" xfId="0" applyNumberFormat="1" applyFont="1" applyFill="1"/>
    <xf numFmtId="0" fontId="16" fillId="3" borderId="0" xfId="0" applyNumberFormat="1" applyFont="1" applyFill="1"/>
    <xf numFmtId="3" fontId="16" fillId="0" borderId="0" xfId="0" applyNumberFormat="1" applyFont="1" applyFill="1"/>
    <xf numFmtId="0" fontId="0" fillId="8" borderId="0" xfId="0" applyNumberFormat="1" applyFont="1" applyFill="1" applyBorder="1"/>
    <xf numFmtId="0" fontId="0" fillId="7" borderId="0" xfId="0" applyNumberFormat="1" applyFont="1" applyFill="1" applyBorder="1"/>
    <xf numFmtId="14" fontId="0" fillId="0" borderId="0" xfId="0" applyNumberFormat="1" applyFont="1"/>
    <xf numFmtId="0" fontId="0" fillId="16" borderId="0" xfId="0" applyNumberFormat="1" applyFont="1" applyFill="1" applyBorder="1"/>
    <xf numFmtId="0" fontId="0" fillId="17" borderId="0" xfId="0" applyNumberFormat="1" applyFont="1" applyFill="1" applyBorder="1"/>
    <xf numFmtId="0" fontId="0" fillId="20" borderId="0" xfId="0" applyNumberFormat="1" applyFont="1" applyFill="1" applyBorder="1"/>
    <xf numFmtId="0" fontId="0" fillId="22" borderId="0" xfId="0" applyNumberFormat="1" applyFont="1" applyFill="1" applyBorder="1"/>
    <xf numFmtId="170" fontId="0" fillId="0" borderId="0" xfId="0" applyNumberFormat="1" applyFont="1"/>
    <xf numFmtId="0" fontId="0" fillId="10" borderId="0" xfId="0" applyNumberFormat="1" applyFont="1" applyFill="1" applyBorder="1"/>
    <xf numFmtId="170" fontId="0" fillId="0" borderId="0" xfId="8" applyNumberFormat="1" applyFont="1" applyFill="1"/>
    <xf numFmtId="3" fontId="0" fillId="0" borderId="0" xfId="0" applyNumberFormat="1" applyFont="1"/>
    <xf numFmtId="0" fontId="0" fillId="9" borderId="0" xfId="0" applyNumberFormat="1" applyFont="1" applyFill="1" applyBorder="1"/>
    <xf numFmtId="3" fontId="17" fillId="0" borderId="0" xfId="0" applyNumberFormat="1" applyFont="1" applyFill="1"/>
    <xf numFmtId="3" fontId="0" fillId="0" borderId="0" xfId="0" applyNumberFormat="1" applyFont="1" applyFill="1"/>
    <xf numFmtId="4" fontId="0" fillId="0" borderId="0" xfId="0" applyNumberFormat="1" applyFont="1" applyFill="1"/>
    <xf numFmtId="170" fontId="0" fillId="17" borderId="0" xfId="7" applyNumberFormat="1" applyFont="1" applyFill="1"/>
    <xf numFmtId="170" fontId="0" fillId="18" borderId="0" xfId="7" applyNumberFormat="1" applyFont="1" applyFill="1"/>
    <xf numFmtId="170" fontId="0" fillId="8" borderId="0" xfId="7" applyNumberFormat="1" applyFont="1" applyFill="1"/>
    <xf numFmtId="170" fontId="11" fillId="0" borderId="0" xfId="7" applyNumberFormat="1" applyFont="1"/>
    <xf numFmtId="170" fontId="4" fillId="10" borderId="0" xfId="7" applyNumberFormat="1" applyFont="1" applyFill="1"/>
    <xf numFmtId="170" fontId="4" fillId="13" borderId="0" xfId="7" applyNumberFormat="1" applyFont="1" applyFill="1"/>
    <xf numFmtId="0" fontId="0" fillId="19" borderId="0" xfId="0" applyNumberFormat="1" applyFont="1" applyFill="1" applyBorder="1"/>
    <xf numFmtId="0" fontId="0" fillId="23" borderId="0" xfId="0" applyNumberFormat="1" applyFont="1" applyFill="1"/>
    <xf numFmtId="170" fontId="0" fillId="11" borderId="0" xfId="7" applyNumberFormat="1" applyFont="1" applyFill="1" applyAlignment="1">
      <alignment horizontal="right"/>
    </xf>
    <xf numFmtId="0" fontId="0" fillId="12" borderId="0" xfId="0" applyNumberFormat="1" applyFont="1" applyFill="1" applyBorder="1"/>
    <xf numFmtId="0" fontId="0" fillId="21" borderId="0" xfId="0" applyNumberFormat="1" applyFont="1" applyFill="1" applyBorder="1"/>
    <xf numFmtId="0" fontId="0" fillId="18" borderId="0" xfId="0" applyNumberFormat="1" applyFont="1" applyFill="1" applyBorder="1"/>
    <xf numFmtId="170" fontId="0" fillId="0" borderId="0" xfId="7" applyNumberFormat="1" applyFont="1" applyFill="1"/>
    <xf numFmtId="0" fontId="0" fillId="23" borderId="0" xfId="0" applyNumberFormat="1" applyFont="1" applyFill="1" applyBorder="1"/>
    <xf numFmtId="0" fontId="4" fillId="13" borderId="0" xfId="0" applyNumberFormat="1" applyFont="1" applyFill="1" applyBorder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0" fontId="0" fillId="5" borderId="0" xfId="0" applyNumberFormat="1" applyFont="1" applyFill="1" applyBorder="1"/>
    <xf numFmtId="0" fontId="0" fillId="15" borderId="0" xfId="0" applyNumberFormat="1" applyFont="1" applyFill="1" applyBorder="1"/>
    <xf numFmtId="0" fontId="4" fillId="10" borderId="0" xfId="0" applyNumberFormat="1" applyFont="1" applyFill="1" applyBorder="1"/>
    <xf numFmtId="0" fontId="0" fillId="3" borderId="11" xfId="0" applyNumberFormat="1" applyFont="1" applyFill="1" applyBorder="1"/>
    <xf numFmtId="0" fontId="0" fillId="3" borderId="62" xfId="0" applyNumberFormat="1" applyFont="1" applyFill="1" applyBorder="1"/>
    <xf numFmtId="0" fontId="0" fillId="13" borderId="0" xfId="0" applyNumberFormat="1" applyFont="1" applyFill="1" applyBorder="1"/>
    <xf numFmtId="170" fontId="0" fillId="8" borderId="0" xfId="7" applyNumberFormat="1" applyFont="1" applyFill="1" applyAlignment="1">
      <alignment horizontal="right"/>
    </xf>
    <xf numFmtId="170" fontId="0" fillId="14" borderId="0" xfId="7" applyNumberFormat="1" applyFont="1" applyFill="1" applyAlignment="1">
      <alignment horizontal="right"/>
    </xf>
    <xf numFmtId="170" fontId="0" fillId="15" borderId="0" xfId="7" applyNumberFormat="1" applyFont="1" applyFill="1" applyAlignment="1">
      <alignment horizontal="right"/>
    </xf>
    <xf numFmtId="170" fontId="0" fillId="20" borderId="0" xfId="7" applyNumberFormat="1" applyFont="1" applyFill="1" applyAlignment="1">
      <alignment horizontal="right"/>
    </xf>
    <xf numFmtId="170" fontId="0" fillId="18" borderId="0" xfId="7" applyNumberFormat="1" applyFont="1" applyFill="1" applyAlignment="1">
      <alignment horizontal="right"/>
    </xf>
    <xf numFmtId="170" fontId="0" fillId="21" borderId="0" xfId="7" applyNumberFormat="1" applyFont="1" applyFill="1" applyAlignment="1">
      <alignment horizontal="right"/>
    </xf>
    <xf numFmtId="170" fontId="0" fillId="22" borderId="0" xfId="7" applyNumberFormat="1" applyFont="1" applyFill="1" applyAlignment="1">
      <alignment horizontal="right"/>
    </xf>
    <xf numFmtId="170" fontId="0" fillId="10" borderId="0" xfId="7" applyNumberFormat="1" applyFont="1" applyFill="1" applyAlignment="1">
      <alignment horizontal="right"/>
    </xf>
    <xf numFmtId="170" fontId="0" fillId="9" borderId="0" xfId="7" applyNumberFormat="1" applyFont="1" applyFill="1" applyAlignment="1">
      <alignment horizontal="right"/>
    </xf>
    <xf numFmtId="170" fontId="0" fillId="5" borderId="0" xfId="7" applyNumberFormat="1" applyFont="1" applyFill="1" applyAlignment="1">
      <alignment horizontal="right"/>
    </xf>
    <xf numFmtId="170" fontId="0" fillId="23" borderId="0" xfId="7" applyNumberFormat="1" applyFont="1" applyFill="1" applyAlignment="1">
      <alignment horizontal="right"/>
    </xf>
    <xf numFmtId="170" fontId="0" fillId="12" borderId="0" xfId="7" applyNumberFormat="1" applyFont="1" applyFill="1" applyAlignment="1">
      <alignment horizontal="right"/>
    </xf>
    <xf numFmtId="170" fontId="0" fillId="13" borderId="0" xfId="7" applyNumberFormat="1" applyFont="1" applyFill="1" applyAlignment="1">
      <alignment horizontal="right"/>
    </xf>
    <xf numFmtId="170" fontId="0" fillId="17" borderId="0" xfId="7" applyNumberFormat="1" applyFont="1" applyFill="1" applyAlignment="1">
      <alignment horizontal="right"/>
    </xf>
    <xf numFmtId="170" fontId="0" fillId="7" borderId="0" xfId="7" applyNumberFormat="1" applyFont="1" applyFill="1" applyAlignment="1">
      <alignment horizontal="right"/>
    </xf>
    <xf numFmtId="170" fontId="0" fillId="19" borderId="0" xfId="7" applyNumberFormat="1" applyFont="1" applyFill="1" applyAlignment="1">
      <alignment horizontal="right"/>
    </xf>
    <xf numFmtId="170" fontId="0" fillId="16" borderId="0" xfId="7" applyNumberFormat="1" applyFont="1" applyFill="1" applyAlignment="1">
      <alignment horizontal="right"/>
    </xf>
    <xf numFmtId="166" fontId="9" fillId="0" borderId="0" xfId="0" applyNumberFormat="1" applyFont="1" applyFill="1"/>
    <xf numFmtId="0" fontId="19" fillId="0" borderId="0" xfId="0" applyFont="1" applyFill="1"/>
    <xf numFmtId="10" fontId="19" fillId="0" borderId="0" xfId="1" applyNumberFormat="1" applyFont="1" applyFill="1"/>
    <xf numFmtId="167" fontId="9" fillId="0" borderId="8" xfId="0" applyNumberFormat="1" applyFont="1" applyFill="1" applyBorder="1" applyAlignment="1">
      <alignment horizontal="center" vertical="center" wrapText="1"/>
    </xf>
    <xf numFmtId="0" fontId="0" fillId="15" borderId="67" xfId="0" applyNumberFormat="1" applyFont="1" applyFill="1" applyBorder="1"/>
    <xf numFmtId="0" fontId="0" fillId="14" borderId="67" xfId="0" applyNumberFormat="1" applyFont="1" applyFill="1" applyBorder="1"/>
    <xf numFmtId="0" fontId="0" fillId="7" borderId="67" xfId="0" applyNumberFormat="1" applyFont="1" applyFill="1" applyBorder="1"/>
    <xf numFmtId="0" fontId="0" fillId="8" borderId="67" xfId="0" applyNumberFormat="1" applyFont="1" applyFill="1" applyBorder="1"/>
    <xf numFmtId="0" fontId="0" fillId="20" borderId="67" xfId="0" applyNumberFormat="1" applyFont="1" applyFill="1" applyBorder="1"/>
    <xf numFmtId="0" fontId="0" fillId="11" borderId="67" xfId="0" applyNumberFormat="1" applyFont="1" applyFill="1" applyBorder="1"/>
    <xf numFmtId="0" fontId="0" fillId="21" borderId="67" xfId="0" applyNumberFormat="1" applyFont="1" applyFill="1" applyBorder="1"/>
    <xf numFmtId="0" fontId="0" fillId="22" borderId="67" xfId="0" applyNumberFormat="1" applyFont="1" applyFill="1" applyBorder="1"/>
    <xf numFmtId="0" fontId="0" fillId="9" borderId="67" xfId="0" applyNumberFormat="1" applyFont="1" applyFill="1" applyBorder="1"/>
    <xf numFmtId="0" fontId="0" fillId="13" borderId="67" xfId="0" applyNumberFormat="1" applyFont="1" applyFill="1" applyBorder="1"/>
    <xf numFmtId="0" fontId="0" fillId="5" borderId="67" xfId="0" applyNumberFormat="1" applyFont="1" applyFill="1" applyBorder="1"/>
    <xf numFmtId="0" fontId="0" fillId="19" borderId="67" xfId="0" applyNumberFormat="1" applyFont="1" applyFill="1" applyBorder="1"/>
    <xf numFmtId="0" fontId="0" fillId="16" borderId="67" xfId="0" applyNumberFormat="1" applyFont="1" applyFill="1" applyBorder="1"/>
    <xf numFmtId="0" fontId="0" fillId="23" borderId="67" xfId="0" applyNumberFormat="1" applyFont="1" applyFill="1" applyBorder="1"/>
    <xf numFmtId="0" fontId="0" fillId="18" borderId="67" xfId="0" applyNumberFormat="1" applyFont="1" applyFill="1" applyBorder="1"/>
    <xf numFmtId="0" fontId="0" fillId="17" borderId="67" xfId="0" applyNumberFormat="1" applyFont="1" applyFill="1" applyBorder="1"/>
    <xf numFmtId="0" fontId="0" fillId="10" borderId="67" xfId="0" applyNumberFormat="1" applyFont="1" applyFill="1" applyBorder="1"/>
    <xf numFmtId="0" fontId="0" fillId="12" borderId="67" xfId="0" applyNumberFormat="1" applyFont="1" applyFill="1" applyBorder="1"/>
    <xf numFmtId="14" fontId="9" fillId="4" borderId="0" xfId="0" applyNumberFormat="1" applyFont="1" applyFill="1"/>
    <xf numFmtId="0" fontId="9" fillId="0" borderId="0" xfId="0" applyFont="1" applyFill="1"/>
    <xf numFmtId="10" fontId="9" fillId="0" borderId="0" xfId="1" applyNumberFormat="1" applyFont="1" applyFill="1"/>
    <xf numFmtId="0" fontId="9" fillId="4" borderId="0" xfId="0" applyFont="1" applyFill="1"/>
    <xf numFmtId="0" fontId="9" fillId="0" borderId="0" xfId="0" applyFont="1" applyFill="1" applyAlignment="1">
      <alignment horizontal="center"/>
    </xf>
    <xf numFmtId="10" fontId="9" fillId="0" borderId="0" xfId="1" applyNumberFormat="1" applyFont="1"/>
    <xf numFmtId="0" fontId="0" fillId="17" borderId="67" xfId="7" applyNumberFormat="1" applyFont="1" applyFill="1" applyBorder="1"/>
    <xf numFmtId="0" fontId="4" fillId="13" borderId="67" xfId="0" applyNumberFormat="1" applyFont="1" applyFill="1" applyBorder="1"/>
    <xf numFmtId="0" fontId="4" fillId="10" borderId="67" xfId="0" applyNumberFormat="1" applyFont="1" applyFill="1" applyBorder="1"/>
    <xf numFmtId="0" fontId="4" fillId="18" borderId="0" xfId="0" applyNumberFormat="1" applyFont="1" applyFill="1" applyBorder="1"/>
    <xf numFmtId="170" fontId="4" fillId="18" borderId="0" xfId="7" applyNumberFormat="1" applyFont="1" applyFill="1" applyAlignment="1">
      <alignment horizontal="right"/>
    </xf>
    <xf numFmtId="0" fontId="4" fillId="20" borderId="0" xfId="0" applyNumberFormat="1" applyFont="1" applyFill="1" applyBorder="1"/>
    <xf numFmtId="170" fontId="4" fillId="20" borderId="0" xfId="7" applyNumberFormat="1" applyFont="1" applyFill="1" applyAlignment="1">
      <alignment horizontal="right"/>
    </xf>
    <xf numFmtId="170" fontId="4" fillId="8" borderId="0" xfId="7" applyNumberFormat="1" applyFont="1" applyFill="1" applyAlignment="1">
      <alignment horizontal="right"/>
    </xf>
    <xf numFmtId="0" fontId="4" fillId="11" borderId="67" xfId="0" applyNumberFormat="1" applyFont="1" applyFill="1" applyBorder="1"/>
    <xf numFmtId="170" fontId="4" fillId="11" borderId="0" xfId="7" applyNumberFormat="1" applyFont="1" applyFill="1" applyAlignment="1">
      <alignment horizontal="right"/>
    </xf>
    <xf numFmtId="0" fontId="4" fillId="7" borderId="0" xfId="0" applyNumberFormat="1" applyFont="1" applyFill="1" applyBorder="1"/>
    <xf numFmtId="0" fontId="4" fillId="7" borderId="67" xfId="0" applyNumberFormat="1" applyFont="1" applyFill="1" applyBorder="1"/>
    <xf numFmtId="170" fontId="4" fillId="7" borderId="0" xfId="7" applyNumberFormat="1" applyFont="1" applyFill="1" applyAlignment="1">
      <alignment horizontal="right"/>
    </xf>
    <xf numFmtId="0" fontId="4" fillId="20" borderId="67" xfId="0" applyNumberFormat="1" applyFont="1" applyFill="1" applyBorder="1"/>
    <xf numFmtId="0" fontId="4" fillId="18" borderId="67" xfId="0" applyNumberFormat="1" applyFont="1" applyFill="1" applyBorder="1"/>
    <xf numFmtId="0" fontId="4" fillId="19" borderId="67" xfId="0" applyNumberFormat="1" applyFont="1" applyFill="1" applyBorder="1"/>
    <xf numFmtId="170" fontId="4" fillId="19" borderId="0" xfId="7" applyNumberFormat="1" applyFont="1" applyFill="1" applyAlignment="1">
      <alignment horizontal="right"/>
    </xf>
    <xf numFmtId="0" fontId="4" fillId="9" borderId="0" xfId="0" applyNumberFormat="1" applyFont="1" applyFill="1" applyBorder="1"/>
    <xf numFmtId="0" fontId="4" fillId="9" borderId="67" xfId="0" applyNumberFormat="1" applyFont="1" applyFill="1" applyBorder="1"/>
    <xf numFmtId="170" fontId="4" fillId="9" borderId="0" xfId="7" applyNumberFormat="1" applyFont="1" applyFill="1" applyAlignment="1">
      <alignment horizontal="right"/>
    </xf>
    <xf numFmtId="170" fontId="4" fillId="13" borderId="0" xfId="7" applyNumberFormat="1" applyFont="1" applyFill="1" applyAlignment="1">
      <alignment horizontal="right"/>
    </xf>
    <xf numFmtId="0" fontId="4" fillId="16" borderId="0" xfId="0" applyNumberFormat="1" applyFont="1" applyFill="1" applyBorder="1"/>
    <xf numFmtId="0" fontId="4" fillId="16" borderId="67" xfId="0" applyNumberFormat="1" applyFont="1" applyFill="1" applyBorder="1"/>
    <xf numFmtId="170" fontId="4" fillId="16" borderId="0" xfId="7" applyNumberFormat="1" applyFont="1" applyFill="1" applyAlignment="1">
      <alignment horizontal="right"/>
    </xf>
    <xf numFmtId="0" fontId="4" fillId="12" borderId="0" xfId="0" applyNumberFormat="1" applyFont="1" applyFill="1" applyBorder="1"/>
    <xf numFmtId="0" fontId="4" fillId="12" borderId="67" xfId="0" applyNumberFormat="1" applyFont="1" applyFill="1" applyBorder="1"/>
    <xf numFmtId="170" fontId="4" fillId="12" borderId="0" xfId="7" applyNumberFormat="1" applyFont="1" applyFill="1" applyAlignment="1">
      <alignment horizontal="right"/>
    </xf>
    <xf numFmtId="0" fontId="4" fillId="23" borderId="0" xfId="0" applyNumberFormat="1" applyFont="1" applyFill="1" applyBorder="1"/>
    <xf numFmtId="0" fontId="4" fillId="23" borderId="67" xfId="0" applyNumberFormat="1" applyFont="1" applyFill="1" applyBorder="1"/>
    <xf numFmtId="170" fontId="4" fillId="23" borderId="0" xfId="7" applyNumberFormat="1" applyFont="1" applyFill="1" applyAlignment="1">
      <alignment horizontal="right"/>
    </xf>
    <xf numFmtId="170" fontId="0" fillId="17" borderId="0" xfId="8" applyNumberFormat="1" applyFont="1" applyFill="1"/>
    <xf numFmtId="3" fontId="0" fillId="17" borderId="0" xfId="0" applyNumberFormat="1" applyFont="1" applyFill="1"/>
    <xf numFmtId="0" fontId="4" fillId="5" borderId="0" xfId="0" applyNumberFormat="1" applyFont="1" applyFill="1" applyBorder="1"/>
    <xf numFmtId="0" fontId="4" fillId="5" borderId="67" xfId="0" applyNumberFormat="1" applyFont="1" applyFill="1" applyBorder="1"/>
    <xf numFmtId="170" fontId="4" fillId="5" borderId="0" xfId="7" applyNumberFormat="1" applyFont="1" applyFill="1" applyAlignment="1">
      <alignment horizontal="right"/>
    </xf>
    <xf numFmtId="0" fontId="4" fillId="9" borderId="0" xfId="0" applyNumberFormat="1" applyFont="1" applyFill="1"/>
    <xf numFmtId="3" fontId="8" fillId="0" borderId="0" xfId="4" applyNumberFormat="1" applyAlignment="1">
      <alignment horizontal="right"/>
    </xf>
    <xf numFmtId="0" fontId="4" fillId="8" borderId="67" xfId="0" applyNumberFormat="1" applyFont="1" applyFill="1" applyBorder="1"/>
    <xf numFmtId="0" fontId="4" fillId="11" borderId="0" xfId="0" applyNumberFormat="1" applyFont="1" applyFill="1" applyBorder="1"/>
    <xf numFmtId="0" fontId="4" fillId="22" borderId="0" xfId="0" applyNumberFormat="1" applyFont="1" applyFill="1" applyBorder="1"/>
    <xf numFmtId="0" fontId="4" fillId="22" borderId="67" xfId="0" applyNumberFormat="1" applyFont="1" applyFill="1" applyBorder="1"/>
    <xf numFmtId="170" fontId="4" fillId="22" borderId="0" xfId="7" applyNumberFormat="1" applyFont="1" applyFill="1" applyAlignment="1">
      <alignment horizontal="right"/>
    </xf>
    <xf numFmtId="0" fontId="4" fillId="14" borderId="67" xfId="0" applyNumberFormat="1" applyFont="1" applyFill="1" applyBorder="1"/>
    <xf numFmtId="170" fontId="4" fillId="14" borderId="0" xfId="7" applyNumberFormat="1" applyFont="1" applyFill="1" applyAlignment="1">
      <alignment horizontal="right"/>
    </xf>
    <xf numFmtId="0" fontId="4" fillId="14" borderId="0" xfId="0" applyNumberFormat="1" applyFont="1" applyFill="1" applyBorder="1"/>
    <xf numFmtId="0" fontId="4" fillId="21" borderId="0" xfId="0" applyNumberFormat="1" applyFont="1" applyFill="1" applyBorder="1"/>
    <xf numFmtId="0" fontId="4" fillId="21" borderId="67" xfId="0" applyNumberFormat="1" applyFont="1" applyFill="1" applyBorder="1"/>
    <xf numFmtId="170" fontId="4" fillId="21" borderId="0" xfId="7" applyNumberFormat="1" applyFont="1" applyFill="1" applyAlignment="1">
      <alignment horizontal="right"/>
    </xf>
    <xf numFmtId="0" fontId="4" fillId="8" borderId="0" xfId="0" applyNumberFormat="1" applyFont="1" applyFill="1" applyBorder="1"/>
    <xf numFmtId="0" fontId="4" fillId="15" borderId="0" xfId="0" applyNumberFormat="1" applyFont="1" applyFill="1" applyBorder="1"/>
    <xf numFmtId="0" fontId="4" fillId="15" borderId="67" xfId="0" applyNumberFormat="1" applyFont="1" applyFill="1" applyBorder="1"/>
    <xf numFmtId="170" fontId="4" fillId="15" borderId="0" xfId="7" applyNumberFormat="1" applyFont="1" applyFill="1" applyAlignment="1">
      <alignment horizontal="right"/>
    </xf>
    <xf numFmtId="0" fontId="4" fillId="19" borderId="0" xfId="0" applyNumberFormat="1" applyFont="1" applyFill="1" applyBorder="1"/>
    <xf numFmtId="170" fontId="4" fillId="10" borderId="0" xfId="7" applyNumberFormat="1" applyFont="1" applyFill="1" applyAlignment="1">
      <alignment horizontal="right"/>
    </xf>
    <xf numFmtId="0" fontId="4" fillId="21" borderId="0" xfId="0" applyNumberFormat="1" applyFont="1" applyFill="1"/>
    <xf numFmtId="0" fontId="4" fillId="11" borderId="0" xfId="0" applyNumberFormat="1" applyFont="1" applyFill="1"/>
    <xf numFmtId="0" fontId="4" fillId="19" borderId="0" xfId="0" applyNumberFormat="1" applyFont="1" applyFill="1"/>
    <xf numFmtId="0" fontId="4" fillId="18" borderId="0" xfId="0" applyNumberFormat="1" applyFont="1" applyFill="1"/>
    <xf numFmtId="170" fontId="4" fillId="0" borderId="0" xfId="8" applyNumberFormat="1" applyFont="1"/>
    <xf numFmtId="3" fontId="4" fillId="0" borderId="0" xfId="0" applyNumberFormat="1" applyFont="1" applyFill="1"/>
    <xf numFmtId="0" fontId="4" fillId="12" borderId="15" xfId="0" applyNumberFormat="1" applyFont="1" applyFill="1" applyBorder="1"/>
    <xf numFmtId="0" fontId="4" fillId="12" borderId="0" xfId="0" applyNumberFormat="1" applyFont="1" applyFill="1"/>
    <xf numFmtId="0" fontId="4" fillId="17" borderId="0" xfId="0" applyNumberFormat="1" applyFont="1" applyFill="1"/>
    <xf numFmtId="0" fontId="4" fillId="17" borderId="67" xfId="0" applyNumberFormat="1" applyFont="1" applyFill="1" applyBorder="1"/>
    <xf numFmtId="170" fontId="4" fillId="17" borderId="0" xfId="7" applyNumberFormat="1" applyFont="1" applyFill="1" applyAlignment="1">
      <alignment horizontal="right"/>
    </xf>
    <xf numFmtId="0" fontId="4" fillId="10" borderId="0" xfId="0" applyNumberFormat="1" applyFont="1" applyFill="1"/>
    <xf numFmtId="0" fontId="4" fillId="13" borderId="65" xfId="0" applyNumberFormat="1" applyFont="1" applyFill="1" applyBorder="1"/>
    <xf numFmtId="3" fontId="8" fillId="0" borderId="0" xfId="4" applyNumberFormat="1" applyBorder="1" applyAlignment="1">
      <alignment horizontal="right"/>
    </xf>
    <xf numFmtId="170" fontId="22" fillId="18" borderId="0" xfId="7" applyNumberFormat="1" applyFont="1" applyFill="1" applyAlignment="1">
      <alignment horizontal="right"/>
    </xf>
    <xf numFmtId="0" fontId="4" fillId="17" borderId="0" xfId="0" applyNumberFormat="1" applyFont="1" applyFill="1" applyBorder="1"/>
    <xf numFmtId="170" fontId="4" fillId="17" borderId="0" xfId="7" applyNumberFormat="1" applyFont="1" applyFill="1"/>
    <xf numFmtId="0" fontId="4" fillId="5" borderId="0" xfId="0" applyNumberFormat="1" applyFont="1" applyFill="1"/>
    <xf numFmtId="0" fontId="4" fillId="16" borderId="0" xfId="0" applyNumberFormat="1" applyFont="1" applyFill="1"/>
    <xf numFmtId="0" fontId="0" fillId="22" borderId="69" xfId="0" applyNumberFormat="1" applyFont="1" applyFill="1" applyBorder="1"/>
    <xf numFmtId="0" fontId="0" fillId="9" borderId="69" xfId="0" applyNumberFormat="1" applyFont="1" applyFill="1" applyBorder="1"/>
    <xf numFmtId="0" fontId="0" fillId="3" borderId="11" xfId="7" applyNumberFormat="1" applyFont="1" applyFill="1" applyBorder="1" applyAlignment="1">
      <alignment horizontal="right"/>
    </xf>
    <xf numFmtId="170" fontId="0" fillId="0" borderId="0" xfId="7" applyNumberFormat="1" applyFont="1" applyFill="1" applyAlignment="1">
      <alignment horizontal="right"/>
    </xf>
    <xf numFmtId="0" fontId="4" fillId="15" borderId="15" xfId="0" applyNumberFormat="1" applyFont="1" applyFill="1" applyBorder="1"/>
    <xf numFmtId="0" fontId="4" fillId="23" borderId="15" xfId="0" applyNumberFormat="1" applyFont="1" applyFill="1" applyBorder="1"/>
    <xf numFmtId="0" fontId="4" fillId="23" borderId="66" xfId="0" applyNumberFormat="1" applyFont="1" applyFill="1" applyBorder="1"/>
    <xf numFmtId="0" fontId="0" fillId="23" borderId="15" xfId="0" applyNumberFormat="1" applyFont="1" applyFill="1" applyBorder="1"/>
    <xf numFmtId="0" fontId="0" fillId="9" borderId="15" xfId="0" applyNumberFormat="1" applyFont="1" applyFill="1" applyBorder="1"/>
    <xf numFmtId="0" fontId="4" fillId="13" borderId="68" xfId="0" applyNumberFormat="1" applyFont="1" applyFill="1" applyBorder="1"/>
    <xf numFmtId="170" fontId="4" fillId="7" borderId="0" xfId="7" applyNumberFormat="1" applyFont="1" applyFill="1"/>
    <xf numFmtId="0" fontId="4" fillId="13" borderId="0" xfId="0" applyNumberFormat="1" applyFont="1" applyFill="1"/>
    <xf numFmtId="3" fontId="0" fillId="0" borderId="0" xfId="7" applyNumberFormat="1" applyFont="1" applyFill="1" applyAlignment="1">
      <alignment horizontal="right"/>
    </xf>
    <xf numFmtId="0" fontId="10" fillId="0" borderId="37" xfId="0" applyFont="1" applyFill="1" applyBorder="1"/>
    <xf numFmtId="0" fontId="10" fillId="0" borderId="20" xfId="0" applyFont="1" applyFill="1" applyBorder="1"/>
    <xf numFmtId="0" fontId="0" fillId="15" borderId="69" xfId="0" applyNumberFormat="1" applyFont="1" applyFill="1" applyBorder="1"/>
    <xf numFmtId="0" fontId="4" fillId="13" borderId="69" xfId="0" applyNumberFormat="1" applyFont="1" applyFill="1" applyBorder="1"/>
    <xf numFmtId="0" fontId="4" fillId="22" borderId="0" xfId="0" applyNumberFormat="1" applyFont="1" applyFill="1"/>
    <xf numFmtId="0" fontId="4" fillId="22" borderId="69" xfId="0" applyNumberFormat="1" applyFont="1" applyFill="1" applyBorder="1"/>
    <xf numFmtId="0" fontId="4" fillId="8" borderId="69" xfId="0" applyNumberFormat="1" applyFont="1" applyFill="1" applyBorder="1"/>
    <xf numFmtId="0" fontId="4" fillId="11" borderId="70" xfId="0" applyNumberFormat="1" applyFont="1" applyFill="1" applyBorder="1"/>
    <xf numFmtId="0" fontId="4" fillId="12" borderId="69" xfId="0" applyNumberFormat="1" applyFont="1" applyFill="1" applyBorder="1"/>
    <xf numFmtId="0" fontId="0" fillId="10" borderId="69" xfId="0" applyNumberFormat="1" applyFont="1" applyFill="1" applyBorder="1"/>
    <xf numFmtId="0" fontId="4" fillId="15" borderId="66" xfId="0" applyNumberFormat="1" applyFont="1" applyFill="1" applyBorder="1"/>
    <xf numFmtId="0" fontId="4" fillId="15" borderId="69" xfId="0" applyNumberFormat="1" applyFont="1" applyFill="1" applyBorder="1"/>
    <xf numFmtId="0" fontId="0" fillId="21" borderId="69" xfId="0" applyNumberFormat="1" applyFont="1" applyFill="1" applyBorder="1"/>
    <xf numFmtId="0" fontId="0" fillId="5" borderId="69" xfId="0" applyNumberFormat="1" applyFont="1" applyFill="1" applyBorder="1"/>
    <xf numFmtId="0" fontId="4" fillId="18" borderId="17" xfId="0" applyNumberFormat="1" applyFont="1" applyFill="1" applyBorder="1"/>
    <xf numFmtId="0" fontId="4" fillId="14" borderId="69" xfId="0" applyNumberFormat="1" applyFont="1" applyFill="1" applyBorder="1"/>
    <xf numFmtId="170" fontId="0" fillId="5" borderId="0" xfId="8" applyNumberFormat="1" applyFont="1" applyFill="1"/>
    <xf numFmtId="3" fontId="0" fillId="5" borderId="0" xfId="0" applyNumberFormat="1" applyFont="1" applyFill="1"/>
    <xf numFmtId="0" fontId="0" fillId="24" borderId="0" xfId="0" applyNumberFormat="1" applyFont="1" applyFill="1" applyBorder="1"/>
    <xf numFmtId="0" fontId="0" fillId="24" borderId="0" xfId="0" applyFont="1" applyFill="1" applyBorder="1"/>
    <xf numFmtId="0" fontId="4" fillId="12" borderId="66" xfId="0" applyNumberFormat="1" applyFont="1" applyFill="1" applyBorder="1"/>
    <xf numFmtId="0" fontId="0" fillId="11" borderId="15" xfId="0" applyNumberFormat="1" applyFont="1" applyFill="1" applyBorder="1"/>
    <xf numFmtId="0" fontId="0" fillId="7" borderId="64" xfId="0" applyNumberFormat="1" applyFont="1" applyFill="1" applyBorder="1"/>
    <xf numFmtId="0" fontId="0" fillId="19" borderId="13" xfId="0" applyNumberFormat="1" applyFont="1" applyFill="1" applyBorder="1"/>
    <xf numFmtId="0" fontId="0" fillId="17" borderId="64" xfId="0" applyNumberFormat="1" applyFont="1" applyFill="1" applyBorder="1"/>
    <xf numFmtId="0" fontId="0" fillId="21" borderId="12" xfId="0" applyNumberFormat="1" applyFont="1" applyFill="1" applyBorder="1"/>
    <xf numFmtId="0" fontId="4" fillId="20" borderId="66" xfId="0" applyNumberFormat="1" applyFont="1" applyFill="1" applyBorder="1"/>
    <xf numFmtId="0" fontId="4" fillId="16" borderId="15" xfId="0" applyNumberFormat="1" applyFont="1" applyFill="1" applyBorder="1"/>
    <xf numFmtId="0" fontId="0" fillId="10" borderId="15" xfId="0" applyNumberFormat="1" applyFont="1" applyFill="1" applyBorder="1"/>
    <xf numFmtId="0" fontId="0" fillId="17" borderId="15" xfId="0" applyNumberFormat="1" applyFont="1" applyFill="1" applyBorder="1"/>
    <xf numFmtId="0" fontId="4" fillId="17" borderId="63" xfId="0" applyNumberFormat="1" applyFont="1" applyFill="1" applyBorder="1"/>
    <xf numFmtId="0" fontId="4" fillId="11" borderId="15" xfId="0" applyNumberFormat="1" applyFont="1" applyFill="1" applyBorder="1"/>
    <xf numFmtId="0" fontId="0" fillId="12" borderId="12" xfId="0" applyNumberFormat="1" applyFont="1" applyFill="1" applyBorder="1"/>
    <xf numFmtId="0" fontId="0" fillId="24" borderId="69" xfId="0" applyFont="1" applyFill="1" applyBorder="1"/>
    <xf numFmtId="0" fontId="4" fillId="7" borderId="37" xfId="0" applyNumberFormat="1" applyFont="1" applyFill="1" applyBorder="1"/>
    <xf numFmtId="0" fontId="4" fillId="11" borderId="69" xfId="0" applyNumberFormat="1" applyFont="1" applyFill="1" applyBorder="1"/>
    <xf numFmtId="0" fontId="4" fillId="16" borderId="69" xfId="0" applyNumberFormat="1" applyFont="1" applyFill="1" applyBorder="1"/>
    <xf numFmtId="0" fontId="4" fillId="9" borderId="69" xfId="0" applyNumberFormat="1" applyFont="1" applyFill="1" applyBorder="1"/>
    <xf numFmtId="0" fontId="0" fillId="18" borderId="72" xfId="0" applyNumberFormat="1" applyFont="1" applyFill="1" applyBorder="1"/>
    <xf numFmtId="0" fontId="4" fillId="20" borderId="72" xfId="0" applyNumberFormat="1" applyFont="1" applyFill="1" applyBorder="1"/>
    <xf numFmtId="0" fontId="4" fillId="23" borderId="12" xfId="0" applyNumberFormat="1" applyFont="1" applyFill="1" applyBorder="1"/>
    <xf numFmtId="0" fontId="4" fillId="23" borderId="17" xfId="0" applyNumberFormat="1" applyFont="1" applyFill="1" applyBorder="1"/>
    <xf numFmtId="0" fontId="4" fillId="21" borderId="4" xfId="0" applyNumberFormat="1" applyFont="1" applyFill="1" applyBorder="1"/>
    <xf numFmtId="0" fontId="4" fillId="21" borderId="71" xfId="0" applyNumberFormat="1" applyFont="1" applyFill="1" applyBorder="1"/>
    <xf numFmtId="170" fontId="4" fillId="21" borderId="4" xfId="7" applyNumberFormat="1" applyFont="1" applyFill="1" applyBorder="1" applyAlignment="1">
      <alignment horizontal="right"/>
    </xf>
    <xf numFmtId="0" fontId="4" fillId="14" borderId="66" xfId="0" applyNumberFormat="1" applyFont="1" applyFill="1" applyBorder="1"/>
    <xf numFmtId="170" fontId="4" fillId="12" borderId="0" xfId="8" applyNumberFormat="1" applyFont="1" applyFill="1"/>
    <xf numFmtId="3" fontId="4" fillId="12" borderId="0" xfId="0" applyNumberFormat="1" applyFont="1" applyFill="1"/>
    <xf numFmtId="0" fontId="10" fillId="12" borderId="15" xfId="0" applyNumberFormat="1" applyFont="1" applyFill="1" applyBorder="1"/>
    <xf numFmtId="0" fontId="10" fillId="12" borderId="67" xfId="0" applyNumberFormat="1" applyFont="1" applyFill="1" applyBorder="1"/>
    <xf numFmtId="170" fontId="10" fillId="12" borderId="0" xfId="7" applyNumberFormat="1" applyFont="1" applyFill="1" applyAlignment="1">
      <alignment horizontal="right"/>
    </xf>
    <xf numFmtId="170" fontId="10" fillId="12" borderId="0" xfId="8" applyNumberFormat="1" applyFont="1" applyFill="1"/>
    <xf numFmtId="3" fontId="10" fillId="12" borderId="0" xfId="0" applyNumberFormat="1" applyFont="1" applyFill="1"/>
    <xf numFmtId="0" fontId="4" fillId="20" borderId="0" xfId="0" applyNumberFormat="1" applyFont="1" applyFill="1"/>
    <xf numFmtId="170" fontId="3" fillId="21" borderId="0" xfId="7" applyNumberFormat="1" applyFont="1" applyFill="1" applyAlignment="1">
      <alignment horizontal="right"/>
    </xf>
    <xf numFmtId="0" fontId="4" fillId="9" borderId="73" xfId="0" applyNumberFormat="1" applyFont="1" applyFill="1" applyBorder="1"/>
    <xf numFmtId="3" fontId="4" fillId="9" borderId="0" xfId="7" applyNumberFormat="1" applyFont="1" applyFill="1" applyAlignment="1">
      <alignment horizontal="right"/>
    </xf>
    <xf numFmtId="0" fontId="4" fillId="15" borderId="0" xfId="0" applyNumberFormat="1" applyFont="1" applyFill="1"/>
    <xf numFmtId="170" fontId="3" fillId="23" borderId="0" xfId="7" applyNumberFormat="1" applyFont="1" applyFill="1" applyAlignment="1">
      <alignment horizontal="right"/>
    </xf>
    <xf numFmtId="0" fontId="4" fillId="5" borderId="67" xfId="7" applyNumberFormat="1" applyFont="1" applyFill="1" applyBorder="1"/>
    <xf numFmtId="170" fontId="4" fillId="5" borderId="0" xfId="8" applyNumberFormat="1" applyFont="1" applyFill="1"/>
    <xf numFmtId="3" fontId="4" fillId="5" borderId="0" xfId="0" applyNumberFormat="1" applyFont="1" applyFill="1"/>
    <xf numFmtId="166" fontId="10" fillId="0" borderId="20" xfId="0" applyNumberFormat="1" applyFont="1" applyFill="1" applyBorder="1"/>
    <xf numFmtId="10" fontId="10" fillId="0" borderId="38" xfId="1" applyNumberFormat="1" applyFont="1" applyFill="1" applyBorder="1" applyAlignment="1">
      <alignment vertical="center"/>
    </xf>
    <xf numFmtId="0" fontId="9" fillId="0" borderId="15" xfId="0" applyFont="1" applyFill="1" applyBorder="1"/>
    <xf numFmtId="10" fontId="9" fillId="0" borderId="32" xfId="1" applyNumberFormat="1" applyFont="1" applyFill="1" applyBorder="1"/>
    <xf numFmtId="0" fontId="9" fillId="0" borderId="35" xfId="0" applyFont="1" applyFill="1" applyBorder="1"/>
    <xf numFmtId="166" fontId="9" fillId="0" borderId="15" xfId="0" applyNumberFormat="1" applyFont="1" applyFill="1" applyBorder="1"/>
    <xf numFmtId="166" fontId="9" fillId="0" borderId="17" xfId="0" applyNumberFormat="1" applyFont="1" applyFill="1" applyBorder="1"/>
    <xf numFmtId="166" fontId="10" fillId="0" borderId="20" xfId="0" applyNumberFormat="1" applyFont="1" applyBorder="1"/>
    <xf numFmtId="0" fontId="1" fillId="0" borderId="0" xfId="0" applyFont="1" applyFill="1"/>
    <xf numFmtId="10" fontId="1" fillId="0" borderId="0" xfId="1" applyNumberFormat="1" applyFont="1" applyFill="1"/>
    <xf numFmtId="0" fontId="9" fillId="0" borderId="39" xfId="0" applyFont="1" applyFill="1" applyBorder="1"/>
    <xf numFmtId="0" fontId="9" fillId="0" borderId="12" xfId="0" applyFont="1" applyFill="1" applyBorder="1"/>
    <xf numFmtId="10" fontId="9" fillId="0" borderId="36" xfId="1" applyNumberFormat="1" applyFont="1" applyFill="1" applyBorder="1"/>
    <xf numFmtId="164" fontId="0" fillId="4" borderId="14" xfId="0" applyNumberFormat="1" applyFont="1" applyFill="1" applyBorder="1" applyAlignment="1">
      <alignment horizontal="left"/>
    </xf>
    <xf numFmtId="166" fontId="0" fillId="0" borderId="16" xfId="0" applyNumberFormat="1" applyFont="1" applyFill="1" applyBorder="1"/>
    <xf numFmtId="166" fontId="0" fillId="0" borderId="16" xfId="0" applyNumberFormat="1" applyFont="1" applyFill="1" applyBorder="1" applyAlignment="1">
      <alignment horizontal="center"/>
    </xf>
    <xf numFmtId="10" fontId="3" fillId="4" borderId="16" xfId="1" applyNumberFormat="1" applyFont="1" applyFill="1" applyBorder="1" applyAlignment="1">
      <alignment horizontal="center"/>
    </xf>
    <xf numFmtId="10" fontId="3" fillId="4" borderId="3" xfId="1" applyNumberFormat="1" applyFont="1" applyFill="1" applyBorder="1" applyAlignment="1">
      <alignment horizontal="center"/>
    </xf>
    <xf numFmtId="166" fontId="0" fillId="0" borderId="16" xfId="0" applyNumberFormat="1" applyFont="1" applyBorder="1"/>
    <xf numFmtId="166" fontId="0" fillId="0" borderId="16" xfId="0" applyNumberFormat="1" applyFont="1" applyBorder="1" applyAlignment="1">
      <alignment horizontal="center"/>
    </xf>
    <xf numFmtId="0" fontId="9" fillId="0" borderId="46" xfId="0" applyFont="1" applyFill="1" applyBorder="1"/>
    <xf numFmtId="0" fontId="9" fillId="0" borderId="17" xfId="0" applyFont="1" applyFill="1" applyBorder="1"/>
    <xf numFmtId="10" fontId="9" fillId="0" borderId="40" xfId="1" applyNumberFormat="1" applyFont="1" applyFill="1" applyBorder="1"/>
    <xf numFmtId="0" fontId="0" fillId="4" borderId="0" xfId="0" applyFill="1" applyBorder="1"/>
    <xf numFmtId="10" fontId="0" fillId="4" borderId="0" xfId="1" applyNumberFormat="1" applyFont="1" applyFill="1" applyBorder="1"/>
    <xf numFmtId="0" fontId="5" fillId="0" borderId="68" xfId="2" applyFill="1" applyBorder="1"/>
    <xf numFmtId="166" fontId="0" fillId="4" borderId="68" xfId="0" applyNumberFormat="1" applyFill="1" applyBorder="1"/>
    <xf numFmtId="10" fontId="0" fillId="4" borderId="68" xfId="1" applyNumberFormat="1" applyFont="1" applyFill="1" applyBorder="1" applyAlignment="1">
      <alignment horizontal="center"/>
    </xf>
    <xf numFmtId="10" fontId="0" fillId="4" borderId="6" xfId="1" applyNumberFormat="1" applyFont="1" applyFill="1" applyBorder="1" applyAlignment="1">
      <alignment horizontal="center"/>
    </xf>
    <xf numFmtId="166" fontId="0" fillId="4" borderId="73" xfId="0" applyNumberFormat="1" applyFill="1" applyBorder="1"/>
    <xf numFmtId="10" fontId="0" fillId="4" borderId="73" xfId="1" applyNumberFormat="1" applyFont="1" applyFill="1" applyBorder="1"/>
    <xf numFmtId="10" fontId="0" fillId="4" borderId="72" xfId="1" applyNumberFormat="1" applyFont="1" applyFill="1" applyBorder="1"/>
    <xf numFmtId="0" fontId="5" fillId="0" borderId="17" xfId="2" applyFill="1" applyBorder="1"/>
    <xf numFmtId="166" fontId="0" fillId="4" borderId="17" xfId="0" applyNumberFormat="1" applyFill="1" applyBorder="1"/>
    <xf numFmtId="10" fontId="0" fillId="4" borderId="17" xfId="1" applyNumberFormat="1" applyFont="1" applyFill="1" applyBorder="1" applyAlignment="1">
      <alignment horizontal="center"/>
    </xf>
    <xf numFmtId="10" fontId="0" fillId="4" borderId="12" xfId="1" applyNumberFormat="1" applyFont="1" applyFill="1" applyBorder="1" applyAlignment="1">
      <alignment horizontal="center"/>
    </xf>
    <xf numFmtId="166" fontId="10" fillId="0" borderId="38" xfId="0" applyNumberFormat="1" applyFont="1" applyBorder="1"/>
    <xf numFmtId="166" fontId="10" fillId="0" borderId="7" xfId="0" applyNumberFormat="1" applyFont="1" applyBorder="1"/>
    <xf numFmtId="166" fontId="9" fillId="0" borderId="0" xfId="0" applyNumberFormat="1" applyFont="1" applyFill="1" applyBorder="1"/>
    <xf numFmtId="166" fontId="9" fillId="0" borderId="1" xfId="0" applyNumberFormat="1" applyFont="1" applyFill="1" applyBorder="1"/>
    <xf numFmtId="10" fontId="10" fillId="0" borderId="45" xfId="1" applyNumberFormat="1" applyFont="1" applyFill="1" applyBorder="1" applyAlignment="1">
      <alignment vertical="center"/>
    </xf>
    <xf numFmtId="0" fontId="23" fillId="0" borderId="0" xfId="0" applyFont="1"/>
    <xf numFmtId="0" fontId="23" fillId="0" borderId="23" xfId="0" applyFont="1" applyBorder="1"/>
    <xf numFmtId="2" fontId="23" fillId="0" borderId="18" xfId="0" applyNumberFormat="1" applyFont="1" applyBorder="1"/>
    <xf numFmtId="0" fontId="23" fillId="0" borderId="29" xfId="0" applyFont="1" applyBorder="1"/>
    <xf numFmtId="10" fontId="23" fillId="0" borderId="30" xfId="1" applyNumberFormat="1" applyFont="1" applyBorder="1"/>
    <xf numFmtId="10" fontId="23" fillId="0" borderId="0" xfId="1" applyNumberFormat="1" applyFont="1"/>
    <xf numFmtId="0" fontId="9" fillId="0" borderId="31" xfId="0" applyFont="1" applyBorder="1"/>
    <xf numFmtId="0" fontId="9" fillId="0" borderId="0" xfId="0" applyFont="1" applyBorder="1"/>
    <xf numFmtId="10" fontId="9" fillId="0" borderId="32" xfId="1" applyNumberFormat="1" applyFont="1" applyBorder="1"/>
    <xf numFmtId="0" fontId="10" fillId="0" borderId="31" xfId="0" applyFont="1" applyBorder="1"/>
    <xf numFmtId="49" fontId="24" fillId="0" borderId="18" xfId="0" applyNumberFormat="1" applyFont="1" applyBorder="1"/>
    <xf numFmtId="0" fontId="10" fillId="0" borderId="0" xfId="0" applyFont="1" applyBorder="1"/>
    <xf numFmtId="10" fontId="10" fillId="0" borderId="32" xfId="1" applyNumberFormat="1" applyFont="1" applyBorder="1"/>
    <xf numFmtId="10" fontId="10" fillId="0" borderId="0" xfId="1" applyNumberFormat="1" applyFont="1"/>
    <xf numFmtId="0" fontId="10" fillId="0" borderId="48" xfId="0" applyFont="1" applyBorder="1"/>
    <xf numFmtId="0" fontId="10" fillId="0" borderId="27" xfId="0" applyFont="1" applyBorder="1"/>
    <xf numFmtId="0" fontId="10" fillId="0" borderId="28" xfId="0" applyFont="1" applyBorder="1"/>
    <xf numFmtId="10" fontId="10" fillId="0" borderId="19" xfId="1" applyNumberFormat="1" applyFont="1" applyBorder="1"/>
    <xf numFmtId="0" fontId="9" fillId="0" borderId="41" xfId="0" applyFont="1" applyBorder="1"/>
    <xf numFmtId="0" fontId="9" fillId="0" borderId="22" xfId="0" applyFont="1" applyBorder="1"/>
    <xf numFmtId="0" fontId="9" fillId="0" borderId="24" xfId="0" applyFont="1" applyBorder="1"/>
    <xf numFmtId="10" fontId="9" fillId="0" borderId="34" xfId="1" applyNumberFormat="1" applyFont="1" applyBorder="1"/>
    <xf numFmtId="0" fontId="9" fillId="0" borderId="1" xfId="0" applyFont="1" applyFill="1" applyBorder="1"/>
    <xf numFmtId="0" fontId="10" fillId="0" borderId="7" xfId="0" applyFont="1" applyFill="1" applyBorder="1"/>
    <xf numFmtId="10" fontId="10" fillId="0" borderId="38" xfId="1" applyNumberFormat="1" applyFont="1" applyFill="1" applyBorder="1"/>
    <xf numFmtId="0" fontId="9" fillId="0" borderId="41" xfId="0" applyFont="1" applyFill="1" applyBorder="1"/>
    <xf numFmtId="0" fontId="9" fillId="0" borderId="22" xfId="0" applyFont="1" applyFill="1" applyBorder="1"/>
    <xf numFmtId="166" fontId="9" fillId="0" borderId="24" xfId="0" applyNumberFormat="1" applyFont="1" applyFill="1" applyBorder="1"/>
    <xf numFmtId="166" fontId="10" fillId="0" borderId="24" xfId="0" applyNumberFormat="1" applyFont="1" applyFill="1" applyBorder="1"/>
    <xf numFmtId="10" fontId="10" fillId="0" borderId="34" xfId="1" applyNumberFormat="1" applyFont="1" applyFill="1" applyBorder="1"/>
    <xf numFmtId="166" fontId="9" fillId="0" borderId="68" xfId="0" applyNumberFormat="1" applyFont="1" applyFill="1" applyBorder="1"/>
    <xf numFmtId="0" fontId="9" fillId="0" borderId="4" xfId="0" applyFont="1" applyBorder="1"/>
    <xf numFmtId="0" fontId="10" fillId="0" borderId="35" xfId="0" applyFont="1" applyFill="1" applyBorder="1"/>
    <xf numFmtId="0" fontId="10" fillId="0" borderId="1" xfId="0" applyFont="1" applyFill="1" applyBorder="1"/>
    <xf numFmtId="166" fontId="10" fillId="0" borderId="21" xfId="0" applyNumberFormat="1" applyFont="1" applyFill="1" applyBorder="1"/>
    <xf numFmtId="166" fontId="10" fillId="0" borderId="0" xfId="0" applyNumberFormat="1" applyFont="1" applyFill="1" applyBorder="1"/>
    <xf numFmtId="166" fontId="10" fillId="0" borderId="15" xfId="0" applyNumberFormat="1" applyFont="1" applyFill="1" applyBorder="1"/>
    <xf numFmtId="10" fontId="10" fillId="0" borderId="32" xfId="1" applyNumberFormat="1" applyFont="1" applyFill="1" applyBorder="1"/>
    <xf numFmtId="0" fontId="10" fillId="0" borderId="37" xfId="0" applyFont="1" applyBorder="1"/>
    <xf numFmtId="0" fontId="10" fillId="0" borderId="7" xfId="0" applyFont="1" applyBorder="1"/>
    <xf numFmtId="10" fontId="10" fillId="0" borderId="38" xfId="1" applyNumberFormat="1" applyFont="1" applyBorder="1"/>
    <xf numFmtId="0" fontId="9" fillId="0" borderId="35" xfId="0" applyFont="1" applyBorder="1"/>
    <xf numFmtId="0" fontId="9" fillId="0" borderId="1" xfId="0" applyFont="1" applyBorder="1"/>
    <xf numFmtId="166" fontId="9" fillId="0" borderId="15" xfId="0" applyNumberFormat="1" applyFont="1" applyBorder="1"/>
    <xf numFmtId="166" fontId="10" fillId="0" borderId="15" xfId="0" applyNumberFormat="1" applyFont="1" applyBorder="1"/>
    <xf numFmtId="10" fontId="10" fillId="0" borderId="40" xfId="1" applyNumberFormat="1" applyFont="1" applyBorder="1"/>
    <xf numFmtId="0" fontId="10" fillId="0" borderId="35" xfId="0" applyFont="1" applyBorder="1"/>
    <xf numFmtId="0" fontId="10" fillId="0" borderId="1" xfId="0" applyFont="1" applyBorder="1"/>
    <xf numFmtId="0" fontId="10" fillId="0" borderId="43" xfId="0" applyFont="1" applyBorder="1"/>
    <xf numFmtId="0" fontId="10" fillId="0" borderId="40" xfId="0" applyFont="1" applyBorder="1"/>
    <xf numFmtId="10" fontId="9" fillId="0" borderId="47" xfId="1" applyNumberFormat="1" applyFont="1" applyBorder="1"/>
    <xf numFmtId="10" fontId="10" fillId="0" borderId="0" xfId="0" applyNumberFormat="1" applyFont="1"/>
    <xf numFmtId="10" fontId="9" fillId="0" borderId="44" xfId="1" applyNumberFormat="1" applyFont="1" applyFill="1" applyBorder="1"/>
    <xf numFmtId="10" fontId="10" fillId="0" borderId="45" xfId="1" applyNumberFormat="1" applyFont="1" applyFill="1" applyBorder="1"/>
    <xf numFmtId="44" fontId="9" fillId="0" borderId="0" xfId="0" applyNumberFormat="1" applyFont="1"/>
    <xf numFmtId="0" fontId="9" fillId="0" borderId="24" xfId="0" applyFont="1" applyFill="1" applyBorder="1"/>
    <xf numFmtId="166" fontId="9" fillId="0" borderId="22" xfId="0" applyNumberFormat="1" applyFont="1" applyFill="1" applyBorder="1"/>
    <xf numFmtId="10" fontId="9" fillId="0" borderId="47" xfId="1" applyNumberFormat="1" applyFont="1" applyFill="1" applyBorder="1"/>
    <xf numFmtId="10" fontId="9" fillId="0" borderId="0" xfId="0" applyNumberFormat="1" applyFont="1"/>
    <xf numFmtId="166" fontId="10" fillId="0" borderId="7" xfId="0" applyNumberFormat="1" applyFont="1" applyFill="1" applyBorder="1"/>
    <xf numFmtId="166" fontId="9" fillId="0" borderId="12" xfId="0" applyNumberFormat="1" applyFont="1" applyFill="1" applyBorder="1"/>
    <xf numFmtId="166" fontId="9" fillId="0" borderId="15" xfId="0" quotePrefix="1" applyNumberFormat="1" applyFont="1" applyFill="1" applyBorder="1"/>
    <xf numFmtId="0" fontId="9" fillId="0" borderId="12" xfId="0" applyFont="1" applyBorder="1"/>
    <xf numFmtId="10" fontId="10" fillId="5" borderId="0" xfId="0" applyNumberFormat="1" applyFont="1" applyFill="1"/>
    <xf numFmtId="0" fontId="10" fillId="0" borderId="20" xfId="0" applyFont="1" applyBorder="1"/>
    <xf numFmtId="10" fontId="10" fillId="0" borderId="45" xfId="1" applyNumberFormat="1" applyFont="1" applyBorder="1"/>
    <xf numFmtId="0" fontId="9" fillId="0" borderId="55" xfId="0" applyFont="1" applyBorder="1"/>
    <xf numFmtId="0" fontId="9" fillId="0" borderId="15" xfId="0" applyFont="1" applyBorder="1"/>
    <xf numFmtId="0" fontId="10" fillId="0" borderId="37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166" fontId="10" fillId="0" borderId="20" xfId="0" applyNumberFormat="1" applyFont="1" applyFill="1" applyBorder="1" applyAlignment="1">
      <alignment vertical="center"/>
    </xf>
    <xf numFmtId="10" fontId="10" fillId="0" borderId="45" xfId="1" applyNumberFormat="1" applyFont="1" applyBorder="1" applyAlignment="1">
      <alignment vertical="center"/>
    </xf>
    <xf numFmtId="0" fontId="9" fillId="0" borderId="51" xfId="0" applyFont="1" applyBorder="1"/>
    <xf numFmtId="0" fontId="9" fillId="0" borderId="68" xfId="0" applyFont="1" applyBorder="1"/>
    <xf numFmtId="166" fontId="9" fillId="0" borderId="68" xfId="0" applyNumberFormat="1" applyFont="1" applyBorder="1"/>
    <xf numFmtId="10" fontId="9" fillId="0" borderId="42" xfId="1" applyNumberFormat="1" applyFont="1" applyFill="1" applyBorder="1"/>
    <xf numFmtId="0" fontId="10" fillId="0" borderId="39" xfId="0" applyFont="1" applyBorder="1"/>
    <xf numFmtId="0" fontId="10" fillId="0" borderId="80" xfId="0" applyFont="1" applyFill="1" applyBorder="1"/>
    <xf numFmtId="166" fontId="10" fillId="0" borderId="0" xfId="0" applyNumberFormat="1" applyFont="1"/>
    <xf numFmtId="0" fontId="10" fillId="0" borderId="15" xfId="0" applyFont="1" applyBorder="1"/>
    <xf numFmtId="166" fontId="10" fillId="0" borderId="32" xfId="0" applyNumberFormat="1" applyFont="1" applyBorder="1"/>
    <xf numFmtId="0" fontId="25" fillId="0" borderId="0" xfId="0" applyFont="1"/>
    <xf numFmtId="10" fontId="25" fillId="0" borderId="0" xfId="1" applyNumberFormat="1" applyFont="1"/>
    <xf numFmtId="0" fontId="26" fillId="0" borderId="0" xfId="0" applyFont="1"/>
    <xf numFmtId="0" fontId="23" fillId="0" borderId="18" xfId="0" applyNumberFormat="1" applyFont="1" applyBorder="1"/>
    <xf numFmtId="0" fontId="9" fillId="0" borderId="68" xfId="0" applyFont="1" applyFill="1" applyBorder="1"/>
    <xf numFmtId="0" fontId="10" fillId="0" borderId="0" xfId="0" applyFont="1" applyAlignment="1">
      <alignment vertical="center"/>
    </xf>
    <xf numFmtId="10" fontId="10" fillId="0" borderId="0" xfId="0" applyNumberFormat="1" applyFont="1" applyAlignment="1">
      <alignment vertical="center"/>
    </xf>
    <xf numFmtId="0" fontId="10" fillId="0" borderId="15" xfId="0" applyFont="1" applyFill="1" applyBorder="1" applyAlignment="1">
      <alignment wrapText="1"/>
    </xf>
    <xf numFmtId="1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166" fontId="10" fillId="0" borderId="15" xfId="0" applyNumberFormat="1" applyFont="1" applyFill="1" applyBorder="1" applyAlignment="1">
      <alignment vertical="center"/>
    </xf>
    <xf numFmtId="166" fontId="10" fillId="0" borderId="15" xfId="0" applyNumberFormat="1" applyFont="1" applyFill="1" applyBorder="1" applyAlignment="1">
      <alignment vertical="center" wrapText="1"/>
    </xf>
    <xf numFmtId="10" fontId="10" fillId="0" borderId="32" xfId="1" applyNumberFormat="1" applyFont="1" applyFill="1" applyBorder="1" applyAlignment="1">
      <alignment vertical="center"/>
    </xf>
    <xf numFmtId="0" fontId="10" fillId="0" borderId="49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166" fontId="10" fillId="0" borderId="50" xfId="0" applyNumberFormat="1" applyFont="1" applyBorder="1" applyAlignment="1">
      <alignment vertical="center" wrapText="1"/>
    </xf>
    <xf numFmtId="166" fontId="10" fillId="0" borderId="50" xfId="0" applyNumberFormat="1" applyFont="1" applyBorder="1" applyAlignment="1">
      <alignment vertical="center"/>
    </xf>
    <xf numFmtId="10" fontId="10" fillId="0" borderId="59" xfId="1" applyNumberFormat="1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166" fontId="10" fillId="0" borderId="15" xfId="0" applyNumberFormat="1" applyFont="1" applyBorder="1" applyAlignment="1">
      <alignment vertical="center" wrapText="1"/>
    </xf>
    <xf numFmtId="166" fontId="10" fillId="0" borderId="15" xfId="0" applyNumberFormat="1" applyFont="1" applyBorder="1" applyAlignment="1">
      <alignment vertical="center"/>
    </xf>
    <xf numFmtId="10" fontId="10" fillId="0" borderId="32" xfId="1" applyNumberFormat="1" applyFont="1" applyBorder="1" applyAlignment="1">
      <alignment vertical="center"/>
    </xf>
    <xf numFmtId="0" fontId="9" fillId="0" borderId="37" xfId="0" applyFont="1" applyBorder="1"/>
    <xf numFmtId="0" fontId="10" fillId="0" borderId="57" xfId="0" applyFont="1" applyBorder="1"/>
    <xf numFmtId="0" fontId="10" fillId="0" borderId="4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 wrapText="1"/>
    </xf>
    <xf numFmtId="166" fontId="10" fillId="0" borderId="24" xfId="0" applyNumberFormat="1" applyFont="1" applyFill="1" applyBorder="1" applyAlignment="1">
      <alignment vertical="center"/>
    </xf>
    <xf numFmtId="10" fontId="10" fillId="0" borderId="47" xfId="1" applyNumberFormat="1" applyFont="1" applyFill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166" fontId="9" fillId="0" borderId="15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9" xfId="0" applyFont="1" applyFill="1" applyBorder="1"/>
    <xf numFmtId="49" fontId="24" fillId="0" borderId="18" xfId="0" applyNumberFormat="1" applyFont="1" applyBorder="1" applyAlignment="1"/>
    <xf numFmtId="0" fontId="9" fillId="0" borderId="55" xfId="0" applyFont="1" applyFill="1" applyBorder="1"/>
    <xf numFmtId="0" fontId="9" fillId="0" borderId="17" xfId="0" applyFont="1" applyBorder="1"/>
    <xf numFmtId="166" fontId="10" fillId="0" borderId="68" xfId="0" applyNumberFormat="1" applyFont="1" applyFill="1" applyBorder="1"/>
    <xf numFmtId="10" fontId="10" fillId="0" borderId="34" xfId="1" applyNumberFormat="1" applyFont="1" applyFill="1" applyBorder="1" applyAlignment="1">
      <alignment vertical="center"/>
    </xf>
    <xf numFmtId="0" fontId="9" fillId="0" borderId="51" xfId="0" applyFont="1" applyFill="1" applyBorder="1"/>
    <xf numFmtId="0" fontId="9" fillId="0" borderId="6" xfId="0" applyFont="1" applyFill="1" applyBorder="1"/>
    <xf numFmtId="166" fontId="9" fillId="0" borderId="6" xfId="0" applyNumberFormat="1" applyFont="1" applyFill="1" applyBorder="1"/>
    <xf numFmtId="0" fontId="9" fillId="0" borderId="40" xfId="0" applyFont="1" applyFill="1" applyBorder="1"/>
    <xf numFmtId="10" fontId="10" fillId="0" borderId="0" xfId="0" applyNumberFormat="1" applyFont="1" applyAlignment="1">
      <alignment horizontal="right" vertical="center"/>
    </xf>
    <xf numFmtId="0" fontId="10" fillId="0" borderId="74" xfId="0" applyFont="1" applyBorder="1"/>
    <xf numFmtId="0" fontId="10" fillId="0" borderId="35" xfId="0" applyFont="1" applyFill="1" applyBorder="1" applyAlignment="1">
      <alignment vertical="center"/>
    </xf>
    <xf numFmtId="0" fontId="10" fillId="0" borderId="15" xfId="0" applyFont="1" applyFill="1" applyBorder="1"/>
    <xf numFmtId="166" fontId="10" fillId="0" borderId="32" xfId="0" applyNumberFormat="1" applyFont="1" applyFill="1" applyBorder="1"/>
    <xf numFmtId="0" fontId="9" fillId="0" borderId="37" xfId="0" applyFont="1" applyFill="1" applyBorder="1"/>
    <xf numFmtId="0" fontId="23" fillId="0" borderId="23" xfId="0" applyFont="1" applyFill="1" applyBorder="1"/>
    <xf numFmtId="0" fontId="23" fillId="0" borderId="18" xfId="0" applyNumberFormat="1" applyFont="1" applyFill="1" applyBorder="1"/>
    <xf numFmtId="0" fontId="23" fillId="0" borderId="29" xfId="0" applyFont="1" applyFill="1" applyBorder="1"/>
    <xf numFmtId="10" fontId="23" fillId="0" borderId="30" xfId="1" applyNumberFormat="1" applyFont="1" applyFill="1" applyBorder="1"/>
    <xf numFmtId="0" fontId="9" fillId="0" borderId="31" xfId="0" applyFont="1" applyFill="1" applyBorder="1"/>
    <xf numFmtId="0" fontId="9" fillId="0" borderId="0" xfId="0" applyFont="1" applyFill="1" applyBorder="1"/>
    <xf numFmtId="0" fontId="10" fillId="0" borderId="31" xfId="0" applyFont="1" applyFill="1" applyBorder="1"/>
    <xf numFmtId="49" fontId="24" fillId="0" borderId="18" xfId="0" applyNumberFormat="1" applyFont="1" applyFill="1" applyBorder="1" applyAlignment="1"/>
    <xf numFmtId="0" fontId="10" fillId="0" borderId="0" xfId="0" applyFont="1" applyFill="1" applyBorder="1"/>
    <xf numFmtId="0" fontId="10" fillId="0" borderId="48" xfId="0" applyFont="1" applyFill="1" applyBorder="1"/>
    <xf numFmtId="0" fontId="10" fillId="0" borderId="28" xfId="0" applyFont="1" applyFill="1" applyBorder="1"/>
    <xf numFmtId="10" fontId="10" fillId="0" borderId="19" xfId="1" applyNumberFormat="1" applyFont="1" applyFill="1" applyBorder="1"/>
    <xf numFmtId="10" fontId="10" fillId="5" borderId="0" xfId="0" applyNumberFormat="1" applyFont="1" applyFill="1" applyAlignment="1">
      <alignment vertical="center"/>
    </xf>
    <xf numFmtId="10" fontId="9" fillId="0" borderId="32" xfId="1" applyNumberFormat="1" applyFont="1" applyFill="1" applyBorder="1" applyAlignment="1">
      <alignment vertical="center"/>
    </xf>
    <xf numFmtId="0" fontId="10" fillId="0" borderId="39" xfId="0" applyFont="1" applyFill="1" applyBorder="1"/>
    <xf numFmtId="166" fontId="10" fillId="0" borderId="17" xfId="0" applyNumberFormat="1" applyFont="1" applyFill="1" applyBorder="1"/>
    <xf numFmtId="10" fontId="10" fillId="0" borderId="44" xfId="1" applyNumberFormat="1" applyFont="1" applyFill="1" applyBorder="1" applyAlignment="1">
      <alignment vertical="center"/>
    </xf>
    <xf numFmtId="170" fontId="9" fillId="0" borderId="0" xfId="7" applyNumberFormat="1" applyFont="1"/>
    <xf numFmtId="0" fontId="9" fillId="0" borderId="39" xfId="0" applyFont="1" applyBorder="1"/>
    <xf numFmtId="0" fontId="9" fillId="0" borderId="49" xfId="0" applyFont="1" applyBorder="1"/>
    <xf numFmtId="0" fontId="9" fillId="0" borderId="21" xfId="0" applyFont="1" applyBorder="1"/>
    <xf numFmtId="10" fontId="9" fillId="0" borderId="44" xfId="1" applyNumberFormat="1" applyFont="1" applyBorder="1"/>
    <xf numFmtId="0" fontId="10" fillId="0" borderId="13" xfId="0" applyFont="1" applyBorder="1"/>
    <xf numFmtId="0" fontId="9" fillId="0" borderId="33" xfId="0" applyFont="1" applyBorder="1"/>
    <xf numFmtId="0" fontId="9" fillId="0" borderId="33" xfId="0" applyFont="1" applyFill="1" applyBorder="1"/>
    <xf numFmtId="10" fontId="9" fillId="0" borderId="34" xfId="1" applyNumberFormat="1" applyFont="1" applyFill="1" applyBorder="1"/>
    <xf numFmtId="0" fontId="10" fillId="0" borderId="58" xfId="0" applyFont="1" applyFill="1" applyBorder="1"/>
    <xf numFmtId="10" fontId="10" fillId="0" borderId="36" xfId="1" applyNumberFormat="1" applyFont="1" applyFill="1" applyBorder="1"/>
    <xf numFmtId="10" fontId="9" fillId="0" borderId="36" xfId="1" applyNumberFormat="1" applyFont="1" applyFill="1" applyBorder="1" applyAlignment="1">
      <alignment vertical="center"/>
    </xf>
    <xf numFmtId="0" fontId="9" fillId="0" borderId="56" xfId="0" applyFont="1" applyFill="1" applyBorder="1"/>
    <xf numFmtId="166" fontId="10" fillId="0" borderId="36" xfId="0" applyNumberFormat="1" applyFont="1" applyFill="1" applyBorder="1"/>
    <xf numFmtId="0" fontId="10" fillId="0" borderId="56" xfId="0" applyFont="1" applyFill="1" applyBorder="1"/>
    <xf numFmtId="0" fontId="23" fillId="0" borderId="29" xfId="0" applyNumberFormat="1" applyFont="1" applyBorder="1"/>
    <xf numFmtId="0" fontId="9" fillId="0" borderId="21" xfId="0" applyFont="1" applyFill="1" applyBorder="1"/>
    <xf numFmtId="0" fontId="9" fillId="0" borderId="60" xfId="0" applyFont="1" applyFill="1" applyBorder="1"/>
    <xf numFmtId="0" fontId="10" fillId="0" borderId="49" xfId="0" applyFont="1" applyFill="1" applyBorder="1"/>
    <xf numFmtId="165" fontId="9" fillId="0" borderId="0" xfId="0" applyNumberFormat="1" applyFont="1"/>
    <xf numFmtId="0" fontId="10" fillId="0" borderId="53" xfId="0" applyFont="1" applyBorder="1"/>
    <xf numFmtId="10" fontId="10" fillId="0" borderId="52" xfId="1" applyNumberFormat="1" applyFont="1" applyBorder="1"/>
    <xf numFmtId="0" fontId="9" fillId="0" borderId="26" xfId="0" applyFont="1" applyBorder="1"/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 wrapText="1"/>
    </xf>
    <xf numFmtId="166" fontId="10" fillId="0" borderId="54" xfId="0" applyNumberFormat="1" applyFont="1" applyFill="1" applyBorder="1" applyAlignment="1">
      <alignment vertical="center"/>
    </xf>
    <xf numFmtId="166" fontId="10" fillId="0" borderId="50" xfId="0" applyNumberFormat="1" applyFont="1" applyFill="1" applyBorder="1" applyAlignment="1">
      <alignment vertical="center"/>
    </xf>
    <xf numFmtId="166" fontId="9" fillId="0" borderId="26" xfId="0" applyNumberFormat="1" applyFont="1" applyFill="1" applyBorder="1"/>
    <xf numFmtId="166" fontId="9" fillId="0" borderId="25" xfId="0" applyNumberFormat="1" applyFont="1" applyFill="1" applyBorder="1"/>
    <xf numFmtId="166" fontId="9" fillId="0" borderId="0" xfId="0" applyNumberFormat="1" applyFont="1"/>
    <xf numFmtId="0" fontId="10" fillId="0" borderId="49" xfId="0" applyFont="1" applyBorder="1" applyAlignment="1">
      <alignment vertical="center"/>
    </xf>
    <xf numFmtId="0" fontId="10" fillId="0" borderId="20" xfId="0" applyFont="1" applyBorder="1" applyAlignment="1">
      <alignment vertical="center" wrapText="1"/>
    </xf>
    <xf numFmtId="166" fontId="10" fillId="0" borderId="82" xfId="0" applyNumberFormat="1" applyFont="1" applyBorder="1" applyAlignment="1">
      <alignment vertical="center"/>
    </xf>
    <xf numFmtId="166" fontId="10" fillId="0" borderId="20" xfId="0" applyNumberFormat="1" applyFont="1" applyBorder="1" applyAlignment="1">
      <alignment vertical="center"/>
    </xf>
    <xf numFmtId="10" fontId="10" fillId="0" borderId="38" xfId="1" applyNumberFormat="1" applyFont="1" applyBorder="1" applyAlignment="1">
      <alignment vertical="center"/>
    </xf>
    <xf numFmtId="166" fontId="9" fillId="0" borderId="75" xfId="0" applyNumberFormat="1" applyFont="1" applyBorder="1"/>
    <xf numFmtId="166" fontId="9" fillId="0" borderId="17" xfId="0" applyNumberFormat="1" applyFont="1" applyBorder="1"/>
    <xf numFmtId="10" fontId="9" fillId="0" borderId="40" xfId="1" applyNumberFormat="1" applyFont="1" applyBorder="1"/>
    <xf numFmtId="166" fontId="9" fillId="0" borderId="76" xfId="0" applyNumberFormat="1" applyFont="1" applyBorder="1"/>
    <xf numFmtId="10" fontId="9" fillId="0" borderId="36" xfId="1" applyNumberFormat="1" applyFont="1" applyBorder="1"/>
    <xf numFmtId="166" fontId="10" fillId="0" borderId="5" xfId="0" applyNumberFormat="1" applyFont="1" applyBorder="1"/>
    <xf numFmtId="166" fontId="9" fillId="0" borderId="0" xfId="0" applyNumberFormat="1" applyFont="1" applyBorder="1"/>
    <xf numFmtId="165" fontId="9" fillId="0" borderId="0" xfId="0" applyNumberFormat="1" applyFont="1" applyFill="1"/>
    <xf numFmtId="0" fontId="9" fillId="0" borderId="46" xfId="0" applyFont="1" applyBorder="1"/>
    <xf numFmtId="2" fontId="23" fillId="0" borderId="18" xfId="0" applyNumberFormat="1" applyFont="1" applyFill="1" applyBorder="1"/>
    <xf numFmtId="49" fontId="24" fillId="0" borderId="18" xfId="0" applyNumberFormat="1" applyFont="1" applyFill="1" applyBorder="1"/>
    <xf numFmtId="166" fontId="9" fillId="0" borderId="76" xfId="0" applyNumberFormat="1" applyFont="1" applyFill="1" applyBorder="1"/>
    <xf numFmtId="0" fontId="10" fillId="0" borderId="50" xfId="0" applyFont="1" applyFill="1" applyBorder="1"/>
    <xf numFmtId="166" fontId="10" fillId="0" borderId="50" xfId="0" applyNumberFormat="1" applyFont="1" applyFill="1" applyBorder="1"/>
    <xf numFmtId="0" fontId="9" fillId="0" borderId="23" xfId="0" applyFont="1" applyFill="1" applyBorder="1"/>
    <xf numFmtId="0" fontId="9" fillId="0" borderId="77" xfId="0" applyFont="1" applyFill="1" applyBorder="1"/>
    <xf numFmtId="166" fontId="9" fillId="0" borderId="77" xfId="0" applyNumberFormat="1" applyFont="1" applyFill="1" applyBorder="1"/>
    <xf numFmtId="166" fontId="9" fillId="0" borderId="21" xfId="0" applyNumberFormat="1" applyFont="1" applyFill="1" applyBorder="1"/>
    <xf numFmtId="0" fontId="9" fillId="0" borderId="76" xfId="0" applyFont="1" applyBorder="1"/>
    <xf numFmtId="0" fontId="9" fillId="0" borderId="75" xfId="0" applyFont="1" applyBorder="1"/>
    <xf numFmtId="0" fontId="4" fillId="0" borderId="20" xfId="0" applyFont="1" applyBorder="1"/>
    <xf numFmtId="0" fontId="0" fillId="0" borderId="35" xfId="0" applyBorder="1"/>
    <xf numFmtId="0" fontId="0" fillId="0" borderId="15" xfId="0" applyBorder="1"/>
    <xf numFmtId="0" fontId="0" fillId="0" borderId="1" xfId="0" applyBorder="1"/>
    <xf numFmtId="10" fontId="10" fillId="0" borderId="59" xfId="1" applyNumberFormat="1" applyFont="1" applyFill="1" applyBorder="1" applyAlignment="1">
      <alignment vertical="center"/>
    </xf>
    <xf numFmtId="0" fontId="0" fillId="0" borderId="35" xfId="0" applyFill="1" applyBorder="1"/>
    <xf numFmtId="0" fontId="13" fillId="0" borderId="58" xfId="0" applyFont="1" applyFill="1" applyBorder="1"/>
    <xf numFmtId="0" fontId="13" fillId="0" borderId="20" xfId="0" applyFont="1" applyFill="1" applyBorder="1"/>
    <xf numFmtId="166" fontId="13" fillId="0" borderId="20" xfId="0" applyNumberFormat="1" applyFont="1" applyFill="1" applyBorder="1"/>
    <xf numFmtId="10" fontId="13" fillId="0" borderId="38" xfId="1" applyNumberFormat="1" applyFont="1" applyFill="1" applyBorder="1" applyAlignment="1">
      <alignment vertical="center"/>
    </xf>
    <xf numFmtId="166" fontId="9" fillId="0" borderId="20" xfId="0" applyNumberFormat="1" applyFont="1" applyFill="1" applyBorder="1"/>
    <xf numFmtId="10" fontId="9" fillId="0" borderId="38" xfId="1" applyNumberFormat="1" applyFont="1" applyFill="1" applyBorder="1" applyAlignment="1">
      <alignment vertical="center"/>
    </xf>
    <xf numFmtId="166" fontId="9" fillId="0" borderId="73" xfId="0" applyNumberFormat="1" applyFont="1" applyFill="1" applyBorder="1"/>
    <xf numFmtId="10" fontId="9" fillId="0" borderId="79" xfId="1" applyNumberFormat="1" applyFont="1" applyFill="1" applyBorder="1"/>
    <xf numFmtId="0" fontId="9" fillId="0" borderId="58" xfId="0" applyFont="1" applyFill="1" applyBorder="1"/>
    <xf numFmtId="0" fontId="9" fillId="0" borderId="20" xfId="0" applyFont="1" applyFill="1" applyBorder="1"/>
    <xf numFmtId="10" fontId="9" fillId="0" borderId="45" xfId="1" applyNumberFormat="1" applyFont="1" applyFill="1" applyBorder="1" applyAlignment="1">
      <alignment vertical="center"/>
    </xf>
    <xf numFmtId="166" fontId="9" fillId="0" borderId="7" xfId="0" applyNumberFormat="1" applyFont="1" applyFill="1" applyBorder="1"/>
    <xf numFmtId="10" fontId="9" fillId="0" borderId="45" xfId="1" applyNumberFormat="1" applyFont="1" applyFill="1" applyBorder="1"/>
    <xf numFmtId="0" fontId="9" fillId="0" borderId="80" xfId="0" applyFont="1" applyFill="1" applyBorder="1"/>
    <xf numFmtId="0" fontId="9" fillId="0" borderId="72" xfId="0" applyFont="1" applyFill="1" applyBorder="1"/>
    <xf numFmtId="10" fontId="9" fillId="0" borderId="81" xfId="1" applyNumberFormat="1" applyFont="1" applyFill="1" applyBorder="1"/>
    <xf numFmtId="0" fontId="9" fillId="0" borderId="73" xfId="0" applyFont="1" applyFill="1" applyBorder="1"/>
    <xf numFmtId="0" fontId="9" fillId="0" borderId="49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 wrapText="1"/>
    </xf>
    <xf numFmtId="166" fontId="9" fillId="0" borderId="50" xfId="0" applyNumberFormat="1" applyFont="1" applyFill="1" applyBorder="1" applyAlignment="1">
      <alignment vertical="center"/>
    </xf>
    <xf numFmtId="166" fontId="9" fillId="0" borderId="54" xfId="0" applyNumberFormat="1" applyFont="1" applyFill="1" applyBorder="1" applyAlignment="1">
      <alignment vertical="center"/>
    </xf>
    <xf numFmtId="0" fontId="13" fillId="0" borderId="35" xfId="0" applyFont="1" applyFill="1" applyBorder="1"/>
    <xf numFmtId="0" fontId="13" fillId="0" borderId="15" xfId="0" applyFont="1" applyFill="1" applyBorder="1"/>
    <xf numFmtId="166" fontId="13" fillId="0" borderId="15" xfId="0" applyNumberFormat="1" applyFont="1" applyFill="1" applyBorder="1"/>
    <xf numFmtId="10" fontId="13" fillId="0" borderId="32" xfId="1" applyNumberFormat="1" applyFont="1" applyFill="1" applyBorder="1"/>
    <xf numFmtId="0" fontId="27" fillId="0" borderId="31" xfId="0" applyFont="1" applyFill="1" applyBorder="1"/>
    <xf numFmtId="0" fontId="27" fillId="0" borderId="76" xfId="0" applyFont="1" applyFill="1" applyBorder="1"/>
    <xf numFmtId="166" fontId="27" fillId="0" borderId="76" xfId="0" applyNumberFormat="1" applyFont="1" applyFill="1" applyBorder="1"/>
    <xf numFmtId="166" fontId="27" fillId="0" borderId="15" xfId="0" applyNumberFormat="1" applyFont="1" applyFill="1" applyBorder="1"/>
    <xf numFmtId="10" fontId="27" fillId="0" borderId="36" xfId="1" applyNumberFormat="1" applyFont="1" applyFill="1" applyBorder="1"/>
    <xf numFmtId="0" fontId="27" fillId="0" borderId="35" xfId="0" applyFont="1" applyFill="1" applyBorder="1"/>
    <xf numFmtId="0" fontId="27" fillId="0" borderId="15" xfId="0" applyFont="1" applyFill="1" applyBorder="1"/>
    <xf numFmtId="10" fontId="27" fillId="0" borderId="32" xfId="1" applyNumberFormat="1" applyFont="1" applyFill="1" applyBorder="1"/>
    <xf numFmtId="0" fontId="13" fillId="0" borderId="31" xfId="0" applyFont="1" applyFill="1" applyBorder="1"/>
    <xf numFmtId="10" fontId="13" fillId="0" borderId="36" xfId="1" applyNumberFormat="1" applyFont="1" applyFill="1" applyBorder="1"/>
    <xf numFmtId="166" fontId="13" fillId="0" borderId="1" xfId="0" applyNumberFormat="1" applyFont="1" applyFill="1" applyBorder="1"/>
    <xf numFmtId="10" fontId="13" fillId="0" borderId="32" xfId="1" applyNumberFormat="1" applyFont="1" applyFill="1" applyBorder="1" applyAlignment="1">
      <alignment vertical="center"/>
    </xf>
    <xf numFmtId="166" fontId="27" fillId="0" borderId="1" xfId="0" applyNumberFormat="1" applyFont="1" applyFill="1" applyBorder="1"/>
    <xf numFmtId="0" fontId="9" fillId="0" borderId="78" xfId="0" applyFont="1" applyFill="1" applyBorder="1"/>
    <xf numFmtId="0" fontId="0" fillId="0" borderId="35" xfId="0" applyFont="1" applyFill="1" applyBorder="1"/>
    <xf numFmtId="0" fontId="0" fillId="0" borderId="1" xfId="0" applyFont="1" applyBorder="1"/>
    <xf numFmtId="0" fontId="13" fillId="0" borderId="35" xfId="0" applyFont="1" applyFill="1" applyBorder="1" applyAlignment="1">
      <alignment vertical="center"/>
    </xf>
    <xf numFmtId="166" fontId="13" fillId="0" borderId="15" xfId="0" applyNumberFormat="1" applyFont="1" applyFill="1" applyBorder="1" applyAlignment="1">
      <alignment vertical="center"/>
    </xf>
    <xf numFmtId="166" fontId="13" fillId="0" borderId="0" xfId="0" applyNumberFormat="1" applyFont="1" applyFill="1" applyBorder="1"/>
    <xf numFmtId="166" fontId="27" fillId="0" borderId="0" xfId="0" applyNumberFormat="1" applyFont="1" applyFill="1" applyBorder="1"/>
    <xf numFmtId="166" fontId="27" fillId="0" borderId="68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</cellXfs>
  <cellStyles count="10">
    <cellStyle name="Comma" xfId="7" builtinId="3"/>
    <cellStyle name="Comma 2" xfId="8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" xfId="6" xr:uid="{00000000-0005-0000-0000-000005000000}"/>
    <cellStyle name="Normal 4" xfId="9" xr:uid="{00000000-0005-0000-0000-000006000000}"/>
    <cellStyle name="Normal_MOnthly totals" xfId="3" xr:uid="{00000000-0005-0000-0000-000007000000}"/>
    <cellStyle name="Normal_Sheet1" xfId="5" xr:uid="{00000000-0005-0000-0000-00000800000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>
          <fgColor indexed="64"/>
          <bgColor theme="3"/>
        </patternFill>
      </fill>
    </dxf>
  </dxfs>
  <tableStyles count="0" defaultTableStyle="TableStyleMedium2" defaultPivotStyle="PivotStyleLight16"/>
  <colors>
    <mruColors>
      <color rgb="FF0000FF"/>
      <color rgb="FF00FFCC"/>
      <color rgb="FFFF99FF"/>
      <color rgb="FF009999"/>
      <color rgb="FFCC9900"/>
      <color rgb="FFCCCC00"/>
      <color rgb="FFDDDDDD"/>
      <color rgb="FFFF9933"/>
      <color rgb="FFFF66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9044.2F5081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180974</xdr:colOff>
      <xdr:row>31</xdr:row>
      <xdr:rowOff>57149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6C0A6728-A7FD-4B66-91FE-EB279308E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82174" cy="566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ounts%20General\Parish%20Share\2019\Reports\April%202019%20Centenary%20Shar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ounts%20General\Parish%20Share\2022\Reports\Share%20%20Report-Funds%20Received%20as%20at%2031st%20August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ounts%20General\Parish%20Share\Calculations\2022\Share%202022%20Benefice%20allocation%20to%20Parish%20level%20FINAL%20June%202022%20for%20statement%20bui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ounts%20General\Parish%20Share\2022\Reports\Share%20%20Report-Funds%20Received%20as%20at%2030th%20June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ounts%20General\Parish%20Share\2021\Reports\December%202021%20Parish%20Share%20%20Report%20%20-%20Version%204%2011.02.22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ccounts%20General\Parish%20Share\2021\Reports\Share%20%20Report-Funds%20Received%20as%20at%2031st%20Augus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1">
          <cell r="A1" t="str">
            <v>Centenary Share 2019</v>
          </cell>
        </row>
        <row r="2">
          <cell r="M2">
            <v>0.33329999999999999</v>
          </cell>
        </row>
        <row r="3">
          <cell r="C3">
            <v>43585</v>
          </cell>
          <cell r="M3">
            <v>0.25</v>
          </cell>
        </row>
        <row r="4">
          <cell r="M4">
            <v>0.16669999999999999</v>
          </cell>
        </row>
        <row r="5">
          <cell r="M5">
            <v>8.3299999999999999E-2</v>
          </cell>
        </row>
      </sheetData>
      <sheetData sheetId="1">
        <row r="2">
          <cell r="A2" t="str">
            <v xml:space="preserve">B078 </v>
          </cell>
          <cell r="B2" t="str">
            <v>B078 - Benefice of Lark Valley with North Bury Team</v>
          </cell>
          <cell r="C2">
            <v>8274</v>
          </cell>
        </row>
        <row r="3">
          <cell r="A3" t="str">
            <v xml:space="preserve">B111 </v>
          </cell>
          <cell r="B3" t="str">
            <v>B111 - Benefice of The Shoreline Benefice</v>
          </cell>
          <cell r="C3">
            <v>1760</v>
          </cell>
        </row>
        <row r="4">
          <cell r="A4" t="str">
            <v xml:space="preserve">B115 </v>
          </cell>
          <cell r="B4" t="str">
            <v>B115 - Benefice of Westerfield &amp; Tuddenham St Martin with Witnesham</v>
          </cell>
          <cell r="C4">
            <v>9000</v>
          </cell>
        </row>
        <row r="5">
          <cell r="A5" t="str">
            <v xml:space="preserve">C330075 </v>
          </cell>
          <cell r="B5" t="str">
            <v>C330075 - Church of All Saints,Ipswich St Matthew</v>
          </cell>
          <cell r="C5">
            <v>2800</v>
          </cell>
        </row>
        <row r="6">
          <cell r="A6" t="str">
            <v xml:space="preserve">C330129 </v>
          </cell>
          <cell r="B6" t="str">
            <v>C330129 - Church of The Chapel of St Nicholas, Gipping</v>
          </cell>
          <cell r="C6">
            <v>1312</v>
          </cell>
        </row>
        <row r="7">
          <cell r="A7" t="str">
            <v xml:space="preserve">C330493 </v>
          </cell>
          <cell r="B7" t="str">
            <v>C330493 - Church of Triangle,Ipswich St Matthew</v>
          </cell>
          <cell r="C7">
            <v>2000</v>
          </cell>
        </row>
        <row r="8">
          <cell r="A8" t="str">
            <v xml:space="preserve">P330003 </v>
          </cell>
          <cell r="B8" t="str">
            <v>P330003 - Parish of Ashbocking</v>
          </cell>
          <cell r="C8">
            <v>953</v>
          </cell>
        </row>
        <row r="9">
          <cell r="A9" t="str">
            <v xml:space="preserve">P330005 </v>
          </cell>
          <cell r="B9" t="str">
            <v>P330005 - Parish of Claydon &amp; Barham</v>
          </cell>
          <cell r="C9">
            <v>10665</v>
          </cell>
        </row>
        <row r="10">
          <cell r="A10" t="str">
            <v xml:space="preserve">P330006 </v>
          </cell>
          <cell r="B10" t="str">
            <v>P330006 - Parish of Barking with Darmsden</v>
          </cell>
          <cell r="C10">
            <v>2000</v>
          </cell>
        </row>
        <row r="11">
          <cell r="A11" t="str">
            <v xml:space="preserve">P330007 </v>
          </cell>
          <cell r="B11" t="str">
            <v>P330007 - Parish of Battisford</v>
          </cell>
          <cell r="C11">
            <v>500</v>
          </cell>
        </row>
        <row r="12">
          <cell r="A12" t="str">
            <v xml:space="preserve">P330008 </v>
          </cell>
          <cell r="B12" t="str">
            <v>P330008 - Parish of Baylham</v>
          </cell>
          <cell r="C12">
            <v>1300</v>
          </cell>
        </row>
        <row r="13">
          <cell r="A13" t="str">
            <v xml:space="preserve">P330009 </v>
          </cell>
          <cell r="B13" t="str">
            <v>P330009 - Parish of Coddenham</v>
          </cell>
          <cell r="C13">
            <v>4033</v>
          </cell>
        </row>
        <row r="14">
          <cell r="A14" t="str">
            <v xml:space="preserve">P330010 </v>
          </cell>
          <cell r="B14" t="str">
            <v>P330010 - Parish of Creeting St Mary</v>
          </cell>
          <cell r="C14">
            <v>1485</v>
          </cell>
        </row>
        <row r="15">
          <cell r="A15" t="str">
            <v xml:space="preserve">P330011 </v>
          </cell>
          <cell r="B15" t="str">
            <v>P330011 - Parish of Creeting St Peter</v>
          </cell>
          <cell r="C15">
            <v>1000</v>
          </cell>
        </row>
        <row r="16">
          <cell r="A16" t="str">
            <v xml:space="preserve">P330012 </v>
          </cell>
          <cell r="B16" t="str">
            <v>P330012 - Parish of Crowfield</v>
          </cell>
          <cell r="C16">
            <v>1288</v>
          </cell>
        </row>
        <row r="17">
          <cell r="A17" t="str">
            <v xml:space="preserve">P330013 </v>
          </cell>
          <cell r="B17" t="str">
            <v>P330013 - Parish of Earl Stonham with Stonham Parva</v>
          </cell>
          <cell r="C17">
            <v>7202</v>
          </cell>
        </row>
        <row r="18">
          <cell r="A18" t="str">
            <v xml:space="preserve">P330015 </v>
          </cell>
          <cell r="B18" t="str">
            <v>P330015 - Parish of Gosbeck</v>
          </cell>
          <cell r="C18">
            <v>3000</v>
          </cell>
        </row>
        <row r="19">
          <cell r="A19" t="str">
            <v xml:space="preserve">P330016 </v>
          </cell>
          <cell r="B19" t="str">
            <v>P330016 - Parish of Great Blakenham</v>
          </cell>
          <cell r="C19">
            <v>3000</v>
          </cell>
        </row>
        <row r="20">
          <cell r="A20" t="str">
            <v xml:space="preserve">P330017 </v>
          </cell>
          <cell r="B20" t="str">
            <v>P330017 - Parish of Great Bricett</v>
          </cell>
          <cell r="C20">
            <v>840</v>
          </cell>
        </row>
        <row r="21">
          <cell r="A21" t="str">
            <v xml:space="preserve">P330018 </v>
          </cell>
          <cell r="B21" t="str">
            <v>P330018 - Parish of Hemingstone</v>
          </cell>
          <cell r="C21">
            <v>2279</v>
          </cell>
        </row>
        <row r="22">
          <cell r="A22" t="str">
            <v xml:space="preserve">P330019 </v>
          </cell>
          <cell r="B22" t="str">
            <v>P330019 - Parish of Henley</v>
          </cell>
          <cell r="C22">
            <v>6379</v>
          </cell>
        </row>
        <row r="23">
          <cell r="A23" t="str">
            <v xml:space="preserve">P330021 </v>
          </cell>
          <cell r="B23" t="str">
            <v>P330021 - Parish of Needham Market with Badley</v>
          </cell>
          <cell r="C23">
            <v>16000</v>
          </cell>
        </row>
        <row r="24">
          <cell r="A24" t="str">
            <v xml:space="preserve">P330022 </v>
          </cell>
          <cell r="B24" t="str">
            <v>P330022 - Parish of Nettlestead</v>
          </cell>
          <cell r="C24">
            <v>2000</v>
          </cell>
        </row>
        <row r="25">
          <cell r="A25" t="str">
            <v xml:space="preserve">P330024 </v>
          </cell>
          <cell r="B25" t="str">
            <v>P330024 - Parish of Ringshall</v>
          </cell>
          <cell r="C25">
            <v>400</v>
          </cell>
        </row>
        <row r="26">
          <cell r="A26" t="str">
            <v xml:space="preserve">P330025 </v>
          </cell>
          <cell r="B26" t="str">
            <v>P330025 - Parish of Somersham</v>
          </cell>
          <cell r="C26">
            <v>2000</v>
          </cell>
        </row>
        <row r="27">
          <cell r="A27" t="str">
            <v xml:space="preserve">P330026 </v>
          </cell>
          <cell r="B27" t="str">
            <v>P330026 - Parish of Stonham Aspal and Mickfield</v>
          </cell>
          <cell r="C27">
            <v>2279</v>
          </cell>
        </row>
        <row r="28">
          <cell r="A28" t="str">
            <v xml:space="preserve">P330028 </v>
          </cell>
          <cell r="B28" t="str">
            <v>P330028 - Parish of Swilland</v>
          </cell>
          <cell r="C28">
            <v>952</v>
          </cell>
        </row>
        <row r="29">
          <cell r="A29" t="str">
            <v xml:space="preserve">P330029 </v>
          </cell>
          <cell r="B29" t="str">
            <v>P330029 - Parish of Willisham</v>
          </cell>
          <cell r="C29">
            <v>1200</v>
          </cell>
        </row>
        <row r="30">
          <cell r="A30" t="str">
            <v xml:space="preserve">P330031 </v>
          </cell>
          <cell r="B30" t="str">
            <v>P330031 - Parish of Brightwell</v>
          </cell>
          <cell r="C30">
            <v>4000</v>
          </cell>
        </row>
        <row r="31">
          <cell r="A31" t="str">
            <v xml:space="preserve">P330032 </v>
          </cell>
          <cell r="B31" t="str">
            <v>P330032 - Parish of Bucklesham &amp; Foxhall</v>
          </cell>
          <cell r="C31">
            <v>3470</v>
          </cell>
        </row>
        <row r="32">
          <cell r="A32" t="str">
            <v xml:space="preserve">P330033 </v>
          </cell>
          <cell r="B32" t="str">
            <v>P330033 - Parish of Falkenham</v>
          </cell>
          <cell r="C32">
            <v>2132</v>
          </cell>
        </row>
        <row r="33">
          <cell r="A33" t="str">
            <v xml:space="preserve">P330034 </v>
          </cell>
          <cell r="B33" t="str">
            <v>P330034 - Parish of Felixstowe St John</v>
          </cell>
          <cell r="C33">
            <v>15810</v>
          </cell>
        </row>
        <row r="34">
          <cell r="A34" t="str">
            <v xml:space="preserve">P330036 </v>
          </cell>
          <cell r="B34" t="str">
            <v>P330036 - Parish of Felixstowe St Peter St Paul</v>
          </cell>
          <cell r="C34">
            <v>24210</v>
          </cell>
        </row>
        <row r="35">
          <cell r="A35" t="str">
            <v xml:space="preserve">P330038 </v>
          </cell>
          <cell r="B35" t="str">
            <v>P330038 - Parish of Hemley</v>
          </cell>
          <cell r="C35">
            <v>800</v>
          </cell>
        </row>
        <row r="36">
          <cell r="A36" t="str">
            <v xml:space="preserve">P330039 </v>
          </cell>
          <cell r="B36" t="str">
            <v>P330039 - Parish of Kirton</v>
          </cell>
          <cell r="C36">
            <v>5442</v>
          </cell>
        </row>
        <row r="37">
          <cell r="A37" t="str">
            <v xml:space="preserve">P330040 </v>
          </cell>
          <cell r="B37" t="str">
            <v>P330040 - Parish of Levington</v>
          </cell>
          <cell r="C37">
            <v>1858</v>
          </cell>
        </row>
        <row r="38">
          <cell r="A38" t="str">
            <v xml:space="preserve">P330041 </v>
          </cell>
          <cell r="B38" t="str">
            <v>P330041 - Parish of Martlesham</v>
          </cell>
          <cell r="C38">
            <v>19535</v>
          </cell>
        </row>
        <row r="39">
          <cell r="A39" t="str">
            <v xml:space="preserve">P330042 </v>
          </cell>
          <cell r="B39" t="str">
            <v>P330042 - Parish of Nacton</v>
          </cell>
          <cell r="C39">
            <v>4528</v>
          </cell>
        </row>
        <row r="40">
          <cell r="A40" t="str">
            <v xml:space="preserve">P330043 </v>
          </cell>
          <cell r="B40" t="str">
            <v>P330043 - Parish of Newbourne</v>
          </cell>
          <cell r="C40">
            <v>1200</v>
          </cell>
        </row>
        <row r="41">
          <cell r="A41" t="str">
            <v xml:space="preserve">P330044 </v>
          </cell>
          <cell r="B41" t="str">
            <v>P330044 - Parish of Trimley</v>
          </cell>
          <cell r="C41">
            <v>8162</v>
          </cell>
        </row>
        <row r="42">
          <cell r="A42" t="str">
            <v xml:space="preserve">P330046 </v>
          </cell>
          <cell r="B42" t="str">
            <v>P330046 - Parish of Waldringfield</v>
          </cell>
          <cell r="C42">
            <v>2776</v>
          </cell>
        </row>
        <row r="43">
          <cell r="A43" t="str">
            <v xml:space="preserve">P330047 </v>
          </cell>
          <cell r="B43" t="str">
            <v>P330047 - Parish of Walton</v>
          </cell>
          <cell r="C43">
            <v>15368</v>
          </cell>
        </row>
        <row r="44">
          <cell r="A44" t="str">
            <v xml:space="preserve">P330049 </v>
          </cell>
          <cell r="B44" t="str">
            <v>P330049 - Parish of Aldham</v>
          </cell>
          <cell r="C44">
            <v>3500</v>
          </cell>
        </row>
        <row r="45">
          <cell r="A45" t="str">
            <v xml:space="preserve">P330053 </v>
          </cell>
          <cell r="B45" t="str">
            <v>P330053 - Parish of Hadleigh</v>
          </cell>
          <cell r="C45">
            <v>16000</v>
          </cell>
        </row>
        <row r="46">
          <cell r="A46" t="str">
            <v xml:space="preserve">P330054 </v>
          </cell>
          <cell r="B46" t="str">
            <v>P330054 - Parish of Higham</v>
          </cell>
          <cell r="C46">
            <v>5000</v>
          </cell>
        </row>
        <row r="47">
          <cell r="A47" t="str">
            <v xml:space="preserve">P330055 </v>
          </cell>
          <cell r="B47" t="str">
            <v>P330055 - Parish of Hintlesham and Chattisham UP</v>
          </cell>
          <cell r="C47">
            <v>8850</v>
          </cell>
        </row>
        <row r="48">
          <cell r="A48" t="str">
            <v xml:space="preserve">P330056 </v>
          </cell>
          <cell r="B48" t="str">
            <v>P330056 - Parish of Holton St Mary</v>
          </cell>
          <cell r="C48">
            <v>4000</v>
          </cell>
        </row>
        <row r="49">
          <cell r="A49" t="str">
            <v xml:space="preserve">P330057 </v>
          </cell>
          <cell r="B49" t="str">
            <v>P330057 - Parish of Kersey</v>
          </cell>
          <cell r="C49">
            <v>4256</v>
          </cell>
        </row>
        <row r="50">
          <cell r="A50" t="str">
            <v xml:space="preserve">P330058 </v>
          </cell>
          <cell r="B50" t="str">
            <v>P330058 - Parish of Layham</v>
          </cell>
          <cell r="C50">
            <v>3000</v>
          </cell>
        </row>
        <row r="51">
          <cell r="A51" t="str">
            <v xml:space="preserve">P330059 </v>
          </cell>
          <cell r="B51" t="str">
            <v>P330059 - Parish of Leavenheath</v>
          </cell>
          <cell r="C51">
            <v>3534</v>
          </cell>
        </row>
        <row r="52">
          <cell r="A52" t="str">
            <v xml:space="preserve">P330062 </v>
          </cell>
          <cell r="B52" t="str">
            <v>P330062 - Parish of Nayland</v>
          </cell>
          <cell r="C52">
            <v>5000</v>
          </cell>
        </row>
        <row r="53">
          <cell r="A53" t="str">
            <v xml:space="preserve">P330063 </v>
          </cell>
          <cell r="B53" t="str">
            <v>P330063 - Parish of Nedging</v>
          </cell>
          <cell r="C53">
            <v>1255</v>
          </cell>
        </row>
        <row r="54">
          <cell r="A54" t="str">
            <v xml:space="preserve">P330064 </v>
          </cell>
          <cell r="B54" t="str">
            <v>P330064 - Parish of Polstead</v>
          </cell>
          <cell r="C54">
            <v>3093</v>
          </cell>
        </row>
        <row r="55">
          <cell r="A55" t="str">
            <v xml:space="preserve">P330065 </v>
          </cell>
          <cell r="B55" t="str">
            <v>P330065 - Parish of Raydon</v>
          </cell>
          <cell r="C55">
            <v>3600</v>
          </cell>
        </row>
        <row r="56">
          <cell r="A56" t="str">
            <v xml:space="preserve">P330066 </v>
          </cell>
          <cell r="B56" t="str">
            <v>P330066 - Parish of Semer</v>
          </cell>
          <cell r="C56">
            <v>835</v>
          </cell>
        </row>
        <row r="57">
          <cell r="A57" t="str">
            <v xml:space="preserve">P330067 </v>
          </cell>
          <cell r="B57" t="str">
            <v>P330067 - Parish of Shelley</v>
          </cell>
          <cell r="C57">
            <v>2000</v>
          </cell>
        </row>
        <row r="58">
          <cell r="A58" t="str">
            <v xml:space="preserve">P330068 </v>
          </cell>
          <cell r="B58" t="str">
            <v>P330068 - Parish of Stoke-by-Nayland</v>
          </cell>
          <cell r="C58">
            <v>19750</v>
          </cell>
        </row>
        <row r="59">
          <cell r="A59" t="str">
            <v xml:space="preserve">P330069 </v>
          </cell>
          <cell r="B59" t="str">
            <v>P330069 - Parish of Great Wenham</v>
          </cell>
          <cell r="C59">
            <v>2114</v>
          </cell>
        </row>
        <row r="60">
          <cell r="A60" t="str">
            <v xml:space="preserve">P330070 </v>
          </cell>
          <cell r="B60" t="str">
            <v>P330070 - Parish of Whatfield</v>
          </cell>
          <cell r="C60">
            <v>1000</v>
          </cell>
        </row>
        <row r="61">
          <cell r="A61" t="str">
            <v xml:space="preserve">P330071 </v>
          </cell>
          <cell r="B61" t="str">
            <v>P330071 - Parish of Wissington</v>
          </cell>
          <cell r="C61">
            <v>1831</v>
          </cell>
        </row>
        <row r="62">
          <cell r="A62" t="str">
            <v xml:space="preserve">P330072 </v>
          </cell>
          <cell r="B62" t="str">
            <v>P330072 - Parish of Stratford St Mary</v>
          </cell>
          <cell r="C62">
            <v>5000</v>
          </cell>
        </row>
        <row r="63">
          <cell r="A63" t="str">
            <v xml:space="preserve">P330073 </v>
          </cell>
          <cell r="B63" t="str">
            <v>P330073 - Parish of Bramford</v>
          </cell>
          <cell r="C63">
            <v>3000</v>
          </cell>
        </row>
        <row r="64">
          <cell r="A64" t="str">
            <v xml:space="preserve">P330074 </v>
          </cell>
          <cell r="B64" t="str">
            <v>P330074 - Parish of Ipswich All Hallows</v>
          </cell>
          <cell r="C64">
            <v>2100</v>
          </cell>
        </row>
        <row r="65">
          <cell r="A65" t="str">
            <v xml:space="preserve">P330076 </v>
          </cell>
          <cell r="B65" t="str">
            <v>P330076 - Parish of Ipswich Holy Trinity</v>
          </cell>
          <cell r="C65">
            <v>1500</v>
          </cell>
        </row>
        <row r="66">
          <cell r="A66" t="str">
            <v xml:space="preserve">P330077 </v>
          </cell>
          <cell r="B66" t="str">
            <v>P330077 - Parish of Ipswich St Clements</v>
          </cell>
          <cell r="C66">
            <v>3374</v>
          </cell>
        </row>
        <row r="67">
          <cell r="A67" t="str">
            <v xml:space="preserve">P330078 </v>
          </cell>
          <cell r="B67" t="str">
            <v>P330078 - Parish of Ipswich St Andrew</v>
          </cell>
          <cell r="C67">
            <v>6880</v>
          </cell>
        </row>
        <row r="68">
          <cell r="A68" t="str">
            <v xml:space="preserve">P330079 </v>
          </cell>
          <cell r="B68" t="str">
            <v>P330079 - Parish of Ipswich St Augustine of Hippo</v>
          </cell>
          <cell r="C68">
            <v>17000</v>
          </cell>
        </row>
        <row r="69">
          <cell r="A69" t="str">
            <v xml:space="preserve">P330080 </v>
          </cell>
          <cell r="B69" t="str">
            <v>P330080 - Parish of Ipswich St Bartholomew</v>
          </cell>
          <cell r="C69">
            <v>9820</v>
          </cell>
        </row>
        <row r="70">
          <cell r="A70" t="str">
            <v xml:space="preserve">P330082 </v>
          </cell>
          <cell r="B70" t="str">
            <v>P330082 - Parish of Ipswich St Helen</v>
          </cell>
          <cell r="C70">
            <v>10000</v>
          </cell>
        </row>
        <row r="71">
          <cell r="A71" t="str">
            <v xml:space="preserve">P330084 </v>
          </cell>
          <cell r="B71" t="str">
            <v>P330084 - Parish of Ipswich St John the Baptist</v>
          </cell>
          <cell r="C71">
            <v>21350</v>
          </cell>
        </row>
        <row r="72">
          <cell r="A72" t="str">
            <v xml:space="preserve">P330085 </v>
          </cell>
          <cell r="B72" t="str">
            <v>P330085 - Parish of Ipswich St Margaret</v>
          </cell>
          <cell r="C72">
            <v>24892</v>
          </cell>
        </row>
        <row r="73">
          <cell r="A73" t="str">
            <v xml:space="preserve">P330086 </v>
          </cell>
          <cell r="B73" t="str">
            <v>P330086 - Parish of Ipswich St Mary-at-the-Elms</v>
          </cell>
          <cell r="C73">
            <v>4500</v>
          </cell>
        </row>
        <row r="74">
          <cell r="A74" t="str">
            <v xml:space="preserve">P330087 </v>
          </cell>
          <cell r="B74" t="str">
            <v>P330087 - Parish of Ipswich St Mary Le Tower</v>
          </cell>
          <cell r="C74">
            <v>15000</v>
          </cell>
        </row>
        <row r="75">
          <cell r="A75" t="str">
            <v xml:space="preserve">P330088 </v>
          </cell>
          <cell r="B75" t="str">
            <v>P330088 - Parish of Ipswich SWITM</v>
          </cell>
          <cell r="C75">
            <v>8000</v>
          </cell>
        </row>
        <row r="76">
          <cell r="A76" t="str">
            <v xml:space="preserve">P330089 </v>
          </cell>
          <cell r="B76" t="str">
            <v>P330089 - Parish of Ipswich St Matthew</v>
          </cell>
          <cell r="C76">
            <v>20748</v>
          </cell>
        </row>
        <row r="77">
          <cell r="A77" t="str">
            <v xml:space="preserve">P330092 </v>
          </cell>
          <cell r="B77" t="str">
            <v>P330092 - Parish of Ipswich St Thomas</v>
          </cell>
          <cell r="C77">
            <v>9100</v>
          </cell>
        </row>
        <row r="78">
          <cell r="A78" t="str">
            <v xml:space="preserve">P330093 </v>
          </cell>
          <cell r="B78" t="str">
            <v>P330093 - Parish of Kesgrave</v>
          </cell>
          <cell r="C78">
            <v>10434</v>
          </cell>
        </row>
        <row r="79">
          <cell r="A79" t="str">
            <v xml:space="preserve">P330094 </v>
          </cell>
          <cell r="B79" t="str">
            <v>P330094 - Parish of Rushmere St Andrew</v>
          </cell>
          <cell r="C79">
            <v>22154</v>
          </cell>
        </row>
        <row r="80">
          <cell r="A80" t="str">
            <v xml:space="preserve">P330097 </v>
          </cell>
          <cell r="B80" t="str">
            <v>P330097 - Parish of Whitton</v>
          </cell>
          <cell r="C80">
            <v>15089</v>
          </cell>
        </row>
        <row r="81">
          <cell r="A81" t="str">
            <v xml:space="preserve">P330100 </v>
          </cell>
          <cell r="B81" t="str">
            <v>P330100 - Parish of Bentley</v>
          </cell>
          <cell r="C81">
            <v>1600</v>
          </cell>
        </row>
        <row r="82">
          <cell r="A82" t="str">
            <v xml:space="preserve">P330101 </v>
          </cell>
          <cell r="B82" t="str">
            <v>P330101 - Parish of East Bergholt</v>
          </cell>
          <cell r="C82">
            <v>10600</v>
          </cell>
        </row>
        <row r="83">
          <cell r="A83" t="str">
            <v xml:space="preserve">P330102 </v>
          </cell>
          <cell r="B83" t="str">
            <v>P330102 - Parish of Brantham</v>
          </cell>
          <cell r="C83">
            <v>6585</v>
          </cell>
        </row>
        <row r="84">
          <cell r="A84" t="str">
            <v xml:space="preserve">P330103 </v>
          </cell>
          <cell r="B84" t="str">
            <v>P330103 - Parish of Burstall</v>
          </cell>
          <cell r="C84">
            <v>2500</v>
          </cell>
        </row>
        <row r="85">
          <cell r="A85" t="str">
            <v xml:space="preserve">P330104 </v>
          </cell>
          <cell r="B85" t="str">
            <v>P330104 - Parish of Capel St Mary with Lt. Wenham</v>
          </cell>
          <cell r="C85">
            <v>3200</v>
          </cell>
        </row>
        <row r="86">
          <cell r="A86" t="str">
            <v xml:space="preserve">P330106 </v>
          </cell>
          <cell r="B86" t="str">
            <v>P330106 - Parish of Chelmondiston</v>
          </cell>
          <cell r="C86">
            <v>6800</v>
          </cell>
        </row>
        <row r="87">
          <cell r="A87" t="str">
            <v xml:space="preserve">P330107 </v>
          </cell>
          <cell r="B87" t="str">
            <v>P330107 - Parish of Copdock with Washbrook</v>
          </cell>
          <cell r="C87">
            <v>5000</v>
          </cell>
        </row>
        <row r="88">
          <cell r="A88" t="str">
            <v xml:space="preserve">P330108 </v>
          </cell>
          <cell r="B88" t="str">
            <v>P330108 - Parish of Erwarton</v>
          </cell>
          <cell r="C88">
            <v>2400</v>
          </cell>
        </row>
        <row r="89">
          <cell r="A89" t="str">
            <v xml:space="preserve">P330109 </v>
          </cell>
          <cell r="B89" t="str">
            <v>P330109 - Parish of Freston</v>
          </cell>
          <cell r="C89">
            <v>1571</v>
          </cell>
        </row>
        <row r="90">
          <cell r="A90" t="str">
            <v xml:space="preserve">P330110 </v>
          </cell>
          <cell r="B90" t="str">
            <v>P330110 - Parish of Harkstead</v>
          </cell>
          <cell r="C90">
            <v>7000</v>
          </cell>
        </row>
        <row r="91">
          <cell r="A91" t="str">
            <v xml:space="preserve">P330112 </v>
          </cell>
          <cell r="B91" t="str">
            <v>P330112 - Parish of Shotley</v>
          </cell>
          <cell r="C91">
            <v>2400</v>
          </cell>
        </row>
        <row r="92">
          <cell r="A92" t="str">
            <v xml:space="preserve">P330113 </v>
          </cell>
          <cell r="B92" t="str">
            <v>P330113 - Parish of Sproughton</v>
          </cell>
          <cell r="C92">
            <v>4500</v>
          </cell>
        </row>
        <row r="93">
          <cell r="A93" t="str">
            <v xml:space="preserve">P330114 </v>
          </cell>
          <cell r="B93" t="str">
            <v>P330114 - Parish of Stutton</v>
          </cell>
          <cell r="C93">
            <v>5000</v>
          </cell>
        </row>
        <row r="94">
          <cell r="A94" t="str">
            <v xml:space="preserve">P330115 </v>
          </cell>
          <cell r="B94" t="str">
            <v>P330115 - Parish of Tattingstone</v>
          </cell>
          <cell r="C94">
            <v>3900</v>
          </cell>
        </row>
        <row r="95">
          <cell r="A95" t="str">
            <v xml:space="preserve">P330117 </v>
          </cell>
          <cell r="B95" t="str">
            <v>P330117 - Parish of Wherstead</v>
          </cell>
          <cell r="C95">
            <v>2378</v>
          </cell>
        </row>
        <row r="96">
          <cell r="A96" t="str">
            <v xml:space="preserve">P330119 </v>
          </cell>
          <cell r="B96" t="str">
            <v>P330119 - Parish of Bacton</v>
          </cell>
          <cell r="C96">
            <v>6300</v>
          </cell>
        </row>
        <row r="97">
          <cell r="A97" t="str">
            <v xml:space="preserve">P330120 </v>
          </cell>
          <cell r="B97" t="str">
            <v>P330120 - Parish of Buxhall</v>
          </cell>
          <cell r="C97">
            <v>3276</v>
          </cell>
        </row>
        <row r="98">
          <cell r="A98" t="str">
            <v xml:space="preserve">P330121 </v>
          </cell>
          <cell r="B98" t="str">
            <v>P330121 - Parish of Combs</v>
          </cell>
          <cell r="C98">
            <v>10418</v>
          </cell>
        </row>
        <row r="99">
          <cell r="A99" t="str">
            <v xml:space="preserve">P330122 </v>
          </cell>
          <cell r="B99" t="str">
            <v>P330122 - Parish of Cotton</v>
          </cell>
          <cell r="C99">
            <v>4000</v>
          </cell>
        </row>
        <row r="100">
          <cell r="A100" t="str">
            <v xml:space="preserve">P330124 </v>
          </cell>
          <cell r="B100" t="str">
            <v>P330124 - Parish of Great Finborough</v>
          </cell>
          <cell r="C100">
            <v>4186</v>
          </cell>
        </row>
        <row r="101">
          <cell r="A101" t="str">
            <v xml:space="preserve">P330125 </v>
          </cell>
          <cell r="B101" t="str">
            <v>P330125 - Parish of Harleston</v>
          </cell>
          <cell r="C101">
            <v>1360</v>
          </cell>
        </row>
        <row r="102">
          <cell r="A102" t="str">
            <v xml:space="preserve">P330126 </v>
          </cell>
          <cell r="B102" t="str">
            <v>P330126 - Parish of Haughley</v>
          </cell>
          <cell r="C102">
            <v>15902</v>
          </cell>
        </row>
        <row r="103">
          <cell r="A103" t="str">
            <v xml:space="preserve">P330127 </v>
          </cell>
          <cell r="B103" t="str">
            <v>P330127 - Parish of Mendlesham</v>
          </cell>
          <cell r="C103">
            <v>6300</v>
          </cell>
        </row>
        <row r="104">
          <cell r="A104" t="str">
            <v xml:space="preserve">P330128 </v>
          </cell>
          <cell r="B104" t="str">
            <v>P330128 - Parish of Old Newton</v>
          </cell>
          <cell r="C104">
            <v>2500</v>
          </cell>
        </row>
        <row r="105">
          <cell r="A105" t="str">
            <v xml:space="preserve">P330130 </v>
          </cell>
          <cell r="B105" t="str">
            <v>P330130 - Parish of Onehouse</v>
          </cell>
          <cell r="C105">
            <v>1775</v>
          </cell>
        </row>
        <row r="106">
          <cell r="A106" t="str">
            <v xml:space="preserve">P330131 </v>
          </cell>
          <cell r="B106" t="str">
            <v>P330131 - Parish of Shelland</v>
          </cell>
          <cell r="C106">
            <v>2612</v>
          </cell>
        </row>
        <row r="107">
          <cell r="A107" t="str">
            <v xml:space="preserve">P330132 </v>
          </cell>
          <cell r="B107" t="str">
            <v>P330132 - Parish of Stoke Ash with Thwaite</v>
          </cell>
          <cell r="C107">
            <v>200</v>
          </cell>
        </row>
        <row r="108">
          <cell r="A108" t="str">
            <v xml:space="preserve">P330133 </v>
          </cell>
          <cell r="B108" t="str">
            <v>P330133 - Parish of Stowmarket</v>
          </cell>
          <cell r="C108">
            <v>26892</v>
          </cell>
        </row>
        <row r="109">
          <cell r="A109" t="str">
            <v xml:space="preserve">P330134 </v>
          </cell>
          <cell r="B109" t="str">
            <v>P330134 - Parish of Stowupland</v>
          </cell>
          <cell r="C109">
            <v>6531</v>
          </cell>
        </row>
        <row r="110">
          <cell r="A110" t="str">
            <v xml:space="preserve">P330136 </v>
          </cell>
          <cell r="B110" t="str">
            <v>P330136 - Parish of Westhorpe</v>
          </cell>
          <cell r="C110">
            <v>1525</v>
          </cell>
        </row>
        <row r="111">
          <cell r="A111" t="str">
            <v xml:space="preserve">P330137 </v>
          </cell>
          <cell r="B111" t="str">
            <v>P330137 - Parish of Wetherden</v>
          </cell>
          <cell r="C111">
            <v>4460</v>
          </cell>
        </row>
        <row r="112">
          <cell r="A112" t="str">
            <v xml:space="preserve">P330138 </v>
          </cell>
          <cell r="B112" t="str">
            <v>P330138 - Parish of Wetheringsett cum Brockford</v>
          </cell>
          <cell r="C112">
            <v>2000</v>
          </cell>
        </row>
        <row r="113">
          <cell r="A113" t="str">
            <v xml:space="preserve">P330139 </v>
          </cell>
          <cell r="B113" t="str">
            <v>P330139 - Parish of Wickham Skeith</v>
          </cell>
          <cell r="C113">
            <v>2173</v>
          </cell>
        </row>
        <row r="114">
          <cell r="A114" t="str">
            <v xml:space="preserve">P330140 </v>
          </cell>
          <cell r="B114" t="str">
            <v>P330140 - Parish of Wyverstone</v>
          </cell>
          <cell r="C114">
            <v>1756</v>
          </cell>
        </row>
        <row r="115">
          <cell r="A115" t="str">
            <v xml:space="preserve">P330141 </v>
          </cell>
          <cell r="B115" t="str">
            <v>P330141 - Parish of Alderton</v>
          </cell>
          <cell r="C115">
            <v>4800</v>
          </cell>
        </row>
        <row r="116">
          <cell r="A116" t="str">
            <v xml:space="preserve">P330142 </v>
          </cell>
          <cell r="B116" t="str">
            <v>P330142 - Parish of Bawdsey</v>
          </cell>
          <cell r="C116">
            <v>1500</v>
          </cell>
        </row>
        <row r="117">
          <cell r="A117" t="str">
            <v xml:space="preserve">P330143 </v>
          </cell>
          <cell r="B117" t="str">
            <v>P330143 - Parish of Boulge</v>
          </cell>
          <cell r="C117">
            <v>542</v>
          </cell>
        </row>
        <row r="118">
          <cell r="A118" t="str">
            <v xml:space="preserve">P330146 </v>
          </cell>
          <cell r="B118" t="str">
            <v>P330146 - Parish of Bromeswell</v>
          </cell>
          <cell r="C118">
            <v>3100</v>
          </cell>
        </row>
        <row r="119">
          <cell r="A119" t="str">
            <v xml:space="preserve">P330147 </v>
          </cell>
          <cell r="B119" t="str">
            <v>P330147 - Parish of Burgh</v>
          </cell>
          <cell r="C119">
            <v>2155</v>
          </cell>
        </row>
        <row r="120">
          <cell r="A120" t="str">
            <v xml:space="preserve">P330148 </v>
          </cell>
          <cell r="B120" t="str">
            <v>P330148 - Parish of Butley</v>
          </cell>
          <cell r="C120">
            <v>1545</v>
          </cell>
        </row>
        <row r="121">
          <cell r="A121" t="str">
            <v xml:space="preserve">P330150 </v>
          </cell>
          <cell r="B121" t="str">
            <v>P330150 - Parish of Clopton</v>
          </cell>
          <cell r="C121">
            <v>758</v>
          </cell>
        </row>
        <row r="122">
          <cell r="A122" t="str">
            <v xml:space="preserve">P330151 </v>
          </cell>
          <cell r="B122" t="str">
            <v>P330151 - Parish of Culpho</v>
          </cell>
          <cell r="C122">
            <v>1515</v>
          </cell>
        </row>
        <row r="123">
          <cell r="A123" t="str">
            <v xml:space="preserve">P330154 </v>
          </cell>
          <cell r="B123" t="str">
            <v>P330154 - Parish of Grundisburgh</v>
          </cell>
          <cell r="C123">
            <v>7430</v>
          </cell>
        </row>
        <row r="124">
          <cell r="A124" t="str">
            <v xml:space="preserve">P330155 </v>
          </cell>
          <cell r="B124" t="str">
            <v>P330155 - Parish of Hasketon</v>
          </cell>
          <cell r="C124">
            <v>5764</v>
          </cell>
        </row>
        <row r="125">
          <cell r="A125" t="str">
            <v xml:space="preserve">P330156 </v>
          </cell>
          <cell r="B125" t="str">
            <v>P330156 - Parish of Hollesley</v>
          </cell>
          <cell r="C125">
            <v>3000</v>
          </cell>
        </row>
        <row r="126">
          <cell r="A126" t="str">
            <v xml:space="preserve">P330157 </v>
          </cell>
          <cell r="B126" t="str">
            <v>P330157 - Parish of Iken</v>
          </cell>
          <cell r="C126">
            <v>2128</v>
          </cell>
        </row>
        <row r="127">
          <cell r="A127" t="str">
            <v xml:space="preserve">P330158 </v>
          </cell>
          <cell r="B127" t="str">
            <v>P330158 - Parish of Little Bealings</v>
          </cell>
          <cell r="C127">
            <v>2739</v>
          </cell>
        </row>
        <row r="128">
          <cell r="A128" t="str">
            <v xml:space="preserve">P330159 </v>
          </cell>
          <cell r="B128" t="str">
            <v>P330159 - Parish of Orford</v>
          </cell>
          <cell r="C128">
            <v>8000</v>
          </cell>
        </row>
        <row r="129">
          <cell r="A129" t="str">
            <v xml:space="preserve">P330160 </v>
          </cell>
          <cell r="B129" t="str">
            <v>P330160 - Parish of Otley</v>
          </cell>
          <cell r="C129">
            <v>1752</v>
          </cell>
        </row>
        <row r="130">
          <cell r="A130" t="str">
            <v xml:space="preserve">P330162 </v>
          </cell>
          <cell r="B130" t="str">
            <v>P330162 - Parish of Ramsholt</v>
          </cell>
          <cell r="C130">
            <v>6000</v>
          </cell>
        </row>
        <row r="131">
          <cell r="A131" t="str">
            <v xml:space="preserve">P330163 </v>
          </cell>
          <cell r="B131" t="str">
            <v>P330163 - Parish of Rendlesham St Gregory and St Felix</v>
          </cell>
          <cell r="C131">
            <v>3750</v>
          </cell>
        </row>
        <row r="132">
          <cell r="A132" t="str">
            <v xml:space="preserve">P330164 </v>
          </cell>
          <cell r="B132" t="str">
            <v>P330164 - Parish of Shottisham</v>
          </cell>
          <cell r="C132">
            <v>400</v>
          </cell>
        </row>
        <row r="133">
          <cell r="A133" t="str">
            <v xml:space="preserve">P330165 </v>
          </cell>
          <cell r="B133" t="str">
            <v>P330165 - Parish of Sudbourne</v>
          </cell>
          <cell r="C133">
            <v>3723</v>
          </cell>
        </row>
        <row r="134">
          <cell r="A134" t="str">
            <v xml:space="preserve">P330167 </v>
          </cell>
          <cell r="B134" t="str">
            <v>P330167 - Parish of Tunstall</v>
          </cell>
          <cell r="C134">
            <v>2319</v>
          </cell>
        </row>
        <row r="135">
          <cell r="A135" t="str">
            <v xml:space="preserve">P330168 </v>
          </cell>
          <cell r="B135" t="str">
            <v>P330168 - Parish of Ufford</v>
          </cell>
          <cell r="C135">
            <v>8000</v>
          </cell>
        </row>
        <row r="136">
          <cell r="A136" t="str">
            <v xml:space="preserve">P330170 </v>
          </cell>
          <cell r="B136" t="str">
            <v>P330170 - Parish of Woodbridge St John</v>
          </cell>
          <cell r="C136">
            <v>25418</v>
          </cell>
        </row>
        <row r="137">
          <cell r="A137" t="str">
            <v xml:space="preserve">P330171 </v>
          </cell>
          <cell r="B137" t="str">
            <v>P330171 - Parish of Woodbridge St Mary</v>
          </cell>
          <cell r="C137">
            <v>25869</v>
          </cell>
        </row>
        <row r="138">
          <cell r="A138" t="str">
            <v xml:space="preserve">P330172 </v>
          </cell>
          <cell r="B138" t="str">
            <v>P330172 - Parish of Barnardiston</v>
          </cell>
          <cell r="C138">
            <v>850</v>
          </cell>
        </row>
        <row r="139">
          <cell r="A139" t="str">
            <v xml:space="preserve">P330173 </v>
          </cell>
          <cell r="B139" t="str">
            <v>P330173 - Parish of Cavendish</v>
          </cell>
          <cell r="C139">
            <v>4535</v>
          </cell>
        </row>
        <row r="140">
          <cell r="A140" t="str">
            <v xml:space="preserve">P330174 </v>
          </cell>
          <cell r="B140" t="str">
            <v>P330174 - Parish of Chedburgh</v>
          </cell>
          <cell r="C140">
            <v>1500</v>
          </cell>
        </row>
        <row r="141">
          <cell r="A141" t="str">
            <v xml:space="preserve">P330175 </v>
          </cell>
          <cell r="B141" t="str">
            <v>P330175 - Parish of Clare with Poslingford UP</v>
          </cell>
          <cell r="C141">
            <v>2000</v>
          </cell>
        </row>
        <row r="142">
          <cell r="A142" t="str">
            <v xml:space="preserve">P330177 </v>
          </cell>
          <cell r="B142" t="str">
            <v>P330177 - Parish of Depden</v>
          </cell>
          <cell r="C142">
            <v>2397</v>
          </cell>
        </row>
        <row r="143">
          <cell r="A143" t="str">
            <v xml:space="preserve">P330178 </v>
          </cell>
          <cell r="B143" t="str">
            <v>P330178 - Parish of Great Bradley</v>
          </cell>
          <cell r="C143">
            <v>1000</v>
          </cell>
        </row>
        <row r="144">
          <cell r="A144" t="str">
            <v xml:space="preserve">P330179 </v>
          </cell>
          <cell r="B144" t="str">
            <v>P330179 - Parish of Great Thurlow</v>
          </cell>
          <cell r="C144">
            <v>3400</v>
          </cell>
        </row>
        <row r="145">
          <cell r="A145" t="str">
            <v xml:space="preserve">P330180 </v>
          </cell>
          <cell r="B145" t="str">
            <v>P330180 - Parish of Haverhill</v>
          </cell>
          <cell r="C145">
            <v>3000</v>
          </cell>
        </row>
        <row r="146">
          <cell r="A146" t="str">
            <v xml:space="preserve">P330181 </v>
          </cell>
          <cell r="B146" t="str">
            <v>P330181 - Parish of Hawkedon</v>
          </cell>
          <cell r="C146">
            <v>2434</v>
          </cell>
        </row>
        <row r="147">
          <cell r="A147" t="str">
            <v xml:space="preserve">P330182 </v>
          </cell>
          <cell r="B147" t="str">
            <v>P330182 - Parish of Hundon</v>
          </cell>
          <cell r="C147">
            <v>800</v>
          </cell>
        </row>
        <row r="148">
          <cell r="A148" t="str">
            <v xml:space="preserve">P330183 </v>
          </cell>
          <cell r="B148" t="str">
            <v>P330183 - Parish of Kedington</v>
          </cell>
          <cell r="C148">
            <v>4000</v>
          </cell>
        </row>
        <row r="149">
          <cell r="A149" t="str">
            <v xml:space="preserve">P330184 </v>
          </cell>
          <cell r="B149" t="str">
            <v>P330184 - Parish of Little Bradley</v>
          </cell>
          <cell r="C149">
            <v>2000</v>
          </cell>
        </row>
        <row r="150">
          <cell r="A150" t="str">
            <v xml:space="preserve">P330187 </v>
          </cell>
          <cell r="B150" t="str">
            <v>P330187 - Parish of Rede</v>
          </cell>
          <cell r="C150">
            <v>2000</v>
          </cell>
        </row>
        <row r="151">
          <cell r="A151" t="str">
            <v xml:space="preserve">P330188 </v>
          </cell>
          <cell r="B151" t="str">
            <v>P330188 - Parish of Stansfield</v>
          </cell>
          <cell r="C151">
            <v>3000</v>
          </cell>
        </row>
        <row r="152">
          <cell r="A152" t="str">
            <v xml:space="preserve">P330189 </v>
          </cell>
          <cell r="B152" t="str">
            <v>P330189 - Parish of Stoke by Clare</v>
          </cell>
          <cell r="C152">
            <v>4123</v>
          </cell>
        </row>
        <row r="153">
          <cell r="A153" t="str">
            <v xml:space="preserve">P330191 </v>
          </cell>
          <cell r="B153" t="str">
            <v>P330191 - Parish of Wickhambrook</v>
          </cell>
          <cell r="C153">
            <v>1600</v>
          </cell>
        </row>
        <row r="154">
          <cell r="A154" t="str">
            <v xml:space="preserve">P330192 </v>
          </cell>
          <cell r="B154" t="str">
            <v>P330192 - Parish of Withersfield</v>
          </cell>
          <cell r="C154">
            <v>2000</v>
          </cell>
        </row>
        <row r="155">
          <cell r="A155" t="str">
            <v xml:space="preserve">P330193 </v>
          </cell>
          <cell r="B155" t="str">
            <v>P330193 - Parish of Wixoe</v>
          </cell>
          <cell r="C155">
            <v>2970</v>
          </cell>
        </row>
        <row r="156">
          <cell r="A156" t="str">
            <v xml:space="preserve">P330196 </v>
          </cell>
          <cell r="B156" t="str">
            <v>P330196 - Parish of Badwell Ash</v>
          </cell>
          <cell r="C156">
            <v>2150</v>
          </cell>
        </row>
        <row r="157">
          <cell r="A157" t="str">
            <v xml:space="preserve">P330197 </v>
          </cell>
          <cell r="B157" t="str">
            <v>P330197 - Parish of Bardwell</v>
          </cell>
          <cell r="C157">
            <v>2000</v>
          </cell>
        </row>
        <row r="158">
          <cell r="A158" t="str">
            <v xml:space="preserve">P330198 </v>
          </cell>
          <cell r="B158" t="str">
            <v>P330198 - Parish of Barnham</v>
          </cell>
          <cell r="C158">
            <v>5500</v>
          </cell>
        </row>
        <row r="159">
          <cell r="A159" t="str">
            <v xml:space="preserve">P330199 </v>
          </cell>
          <cell r="B159" t="str">
            <v>P330199 - Parish of Barningham</v>
          </cell>
          <cell r="C159">
            <v>2183</v>
          </cell>
        </row>
        <row r="160">
          <cell r="A160" t="str">
            <v xml:space="preserve">P330200 </v>
          </cell>
          <cell r="B160" t="str">
            <v>P330200 - Parish of Coney Weston</v>
          </cell>
          <cell r="C160">
            <v>1303</v>
          </cell>
        </row>
        <row r="161">
          <cell r="A161" t="str">
            <v xml:space="preserve">P330201 </v>
          </cell>
          <cell r="B161" t="str">
            <v>P330201 - Parish of Euston</v>
          </cell>
          <cell r="C161">
            <v>2000</v>
          </cell>
        </row>
        <row r="162">
          <cell r="A162" t="str">
            <v xml:space="preserve">P330202 </v>
          </cell>
          <cell r="B162" t="str">
            <v>P330202 - Parish of Fakenham Magna</v>
          </cell>
          <cell r="C162">
            <v>2000</v>
          </cell>
        </row>
        <row r="163">
          <cell r="A163" t="str">
            <v xml:space="preserve">P330203 </v>
          </cell>
          <cell r="B163" t="str">
            <v>P330203 - Parish of Great Ashfield</v>
          </cell>
          <cell r="C163">
            <v>1111</v>
          </cell>
        </row>
        <row r="164">
          <cell r="A164" t="str">
            <v xml:space="preserve">P330206 </v>
          </cell>
          <cell r="B164" t="str">
            <v>P330206 - Parish of Hinderclay</v>
          </cell>
          <cell r="C164">
            <v>1500</v>
          </cell>
        </row>
        <row r="165">
          <cell r="A165" t="str">
            <v xml:space="preserve">P330207 </v>
          </cell>
          <cell r="B165" t="str">
            <v>P330207 - Parish of Honington with Sapiston</v>
          </cell>
          <cell r="C165">
            <v>2500</v>
          </cell>
        </row>
        <row r="166">
          <cell r="A166" t="str">
            <v xml:space="preserve">P330208 </v>
          </cell>
          <cell r="B166" t="str">
            <v>P330208 - Parish of Hopton</v>
          </cell>
          <cell r="C166">
            <v>2319</v>
          </cell>
        </row>
        <row r="167">
          <cell r="A167" t="str">
            <v xml:space="preserve">P330210 </v>
          </cell>
          <cell r="B167" t="str">
            <v>P330210 - Parish of Ixworth with Ixworth Thorpe</v>
          </cell>
          <cell r="C167">
            <v>2000</v>
          </cell>
        </row>
        <row r="168">
          <cell r="A168" t="str">
            <v xml:space="preserve">P330213 </v>
          </cell>
          <cell r="B168" t="str">
            <v>P330213 - Parish of Market Weston</v>
          </cell>
          <cell r="C168">
            <v>500</v>
          </cell>
        </row>
        <row r="169">
          <cell r="A169" t="str">
            <v xml:space="preserve">P330214 </v>
          </cell>
          <cell r="B169" t="str">
            <v>P330214 - Parish of Norton</v>
          </cell>
          <cell r="C169">
            <v>2000</v>
          </cell>
        </row>
        <row r="170">
          <cell r="A170" t="str">
            <v xml:space="preserve">P330215 </v>
          </cell>
          <cell r="B170" t="str">
            <v>P330215 - Parish of Pakenham</v>
          </cell>
          <cell r="C170">
            <v>8000</v>
          </cell>
        </row>
        <row r="171">
          <cell r="A171" t="str">
            <v xml:space="preserve">P330216 </v>
          </cell>
          <cell r="B171" t="str">
            <v>P330216 - Parish of Stanton</v>
          </cell>
          <cell r="C171">
            <v>2600</v>
          </cell>
        </row>
        <row r="172">
          <cell r="A172" t="str">
            <v xml:space="preserve">P330219 </v>
          </cell>
          <cell r="B172" t="str">
            <v>P330219 - Parish of Thurston</v>
          </cell>
          <cell r="C172">
            <v>11664</v>
          </cell>
        </row>
        <row r="173">
          <cell r="A173" t="str">
            <v xml:space="preserve">P330220 </v>
          </cell>
          <cell r="B173" t="str">
            <v>P330220 - Parish of Tostock</v>
          </cell>
          <cell r="C173">
            <v>4360</v>
          </cell>
        </row>
        <row r="174">
          <cell r="A174" t="str">
            <v xml:space="preserve">P330221 </v>
          </cell>
          <cell r="B174" t="str">
            <v>P330221 - Parish of Troston</v>
          </cell>
          <cell r="C174">
            <v>1000</v>
          </cell>
        </row>
        <row r="175">
          <cell r="A175" t="str">
            <v xml:space="preserve">P330222 </v>
          </cell>
          <cell r="B175" t="str">
            <v>P330222 - Parish of Walsham-le-Willows</v>
          </cell>
          <cell r="C175">
            <v>6955</v>
          </cell>
        </row>
        <row r="176">
          <cell r="A176" t="str">
            <v xml:space="preserve">P330225 </v>
          </cell>
          <cell r="B176" t="str">
            <v>P330225 - Parish of Bradfield St Clare</v>
          </cell>
          <cell r="C176">
            <v>1655</v>
          </cell>
        </row>
        <row r="177">
          <cell r="A177" t="str">
            <v xml:space="preserve">P330226 </v>
          </cell>
          <cell r="B177" t="str">
            <v>P330226 - Parish of Bradfield St George &amp; Lt. Whelnetham UP</v>
          </cell>
          <cell r="C177">
            <v>3312</v>
          </cell>
        </row>
        <row r="178">
          <cell r="A178" t="str">
            <v xml:space="preserve">P330227 </v>
          </cell>
          <cell r="B178" t="str">
            <v>P330227 - Parish of Brent Eleigh</v>
          </cell>
          <cell r="C178">
            <v>1906</v>
          </cell>
        </row>
        <row r="179">
          <cell r="A179" t="str">
            <v xml:space="preserve">P330228 </v>
          </cell>
          <cell r="B179" t="str">
            <v>P330228 - Parish of Brettenham</v>
          </cell>
          <cell r="C179">
            <v>2500</v>
          </cell>
        </row>
        <row r="180">
          <cell r="A180" t="str">
            <v xml:space="preserve">P330229 </v>
          </cell>
          <cell r="B180" t="str">
            <v>P330229 - Parish of Chelsworth</v>
          </cell>
          <cell r="C180">
            <v>1906</v>
          </cell>
        </row>
        <row r="181">
          <cell r="A181" t="str">
            <v xml:space="preserve">P330230 </v>
          </cell>
          <cell r="B181" t="str">
            <v>P330230 - Parish of Cockfield</v>
          </cell>
          <cell r="C181">
            <v>8375</v>
          </cell>
        </row>
        <row r="182">
          <cell r="A182" t="str">
            <v xml:space="preserve">P330231 </v>
          </cell>
          <cell r="B182" t="str">
            <v>P330231 - Parish of Drinkstone</v>
          </cell>
          <cell r="C182">
            <v>12274</v>
          </cell>
        </row>
        <row r="183">
          <cell r="A183" t="str">
            <v xml:space="preserve">P330232 </v>
          </cell>
          <cell r="B183" t="str">
            <v>P330232 - Parish of Elmswell</v>
          </cell>
          <cell r="C183">
            <v>13575</v>
          </cell>
        </row>
        <row r="184">
          <cell r="A184" t="str">
            <v xml:space="preserve">P330233 </v>
          </cell>
          <cell r="B184" t="str">
            <v>P330233 - Parish of Felsham</v>
          </cell>
          <cell r="C184">
            <v>3310</v>
          </cell>
        </row>
        <row r="185">
          <cell r="A185" t="str">
            <v xml:space="preserve">P330234 </v>
          </cell>
          <cell r="B185" t="str">
            <v>P330234 - Parish of Gedding</v>
          </cell>
          <cell r="C185">
            <v>1545</v>
          </cell>
        </row>
        <row r="186">
          <cell r="A186" t="str">
            <v xml:space="preserve">P330235 </v>
          </cell>
          <cell r="B186" t="str">
            <v>P330235 - Parish of Great Whelnetham</v>
          </cell>
          <cell r="C186">
            <v>1000</v>
          </cell>
        </row>
        <row r="187">
          <cell r="A187" t="str">
            <v xml:space="preserve">P330238 </v>
          </cell>
          <cell r="B187" t="str">
            <v>P330238 - Parish of Kettlebaston</v>
          </cell>
          <cell r="C187">
            <v>953</v>
          </cell>
        </row>
        <row r="188">
          <cell r="A188" t="str">
            <v xml:space="preserve">P330239 </v>
          </cell>
          <cell r="B188" t="str">
            <v>P330239 - Parish of Lavenham</v>
          </cell>
          <cell r="C188">
            <v>20800</v>
          </cell>
        </row>
        <row r="189">
          <cell r="A189" t="str">
            <v xml:space="preserve">P330241 </v>
          </cell>
          <cell r="B189" t="str">
            <v>P330241 - Parish of Little Finborough</v>
          </cell>
          <cell r="C189">
            <v>2290</v>
          </cell>
        </row>
        <row r="190">
          <cell r="A190" t="str">
            <v xml:space="preserve">P330243 </v>
          </cell>
          <cell r="B190" t="str">
            <v>P330243 - Parish of Milden</v>
          </cell>
          <cell r="C190">
            <v>2478</v>
          </cell>
        </row>
        <row r="191">
          <cell r="A191" t="str">
            <v xml:space="preserve">P330244 </v>
          </cell>
          <cell r="B191" t="str">
            <v>P330244 - Parish of Monks Eleigh</v>
          </cell>
          <cell r="C191">
            <v>3526</v>
          </cell>
        </row>
        <row r="192">
          <cell r="A192" t="str">
            <v xml:space="preserve">P330246 </v>
          </cell>
          <cell r="B192" t="str">
            <v>P330246 - Parish of Rattlesden</v>
          </cell>
          <cell r="C192">
            <v>11691</v>
          </cell>
        </row>
        <row r="193">
          <cell r="A193" t="str">
            <v xml:space="preserve">P330249 </v>
          </cell>
          <cell r="B193" t="str">
            <v>P330249 - Parish of Thorpe Morieux</v>
          </cell>
          <cell r="C193">
            <v>11375</v>
          </cell>
        </row>
        <row r="194">
          <cell r="A194" t="str">
            <v xml:space="preserve">P330250 </v>
          </cell>
          <cell r="B194" t="str">
            <v>P330250 - Parish of Woolpit</v>
          </cell>
          <cell r="C194">
            <v>18800</v>
          </cell>
        </row>
        <row r="195">
          <cell r="A195" t="str">
            <v xml:space="preserve">P330251 </v>
          </cell>
          <cell r="B195" t="str">
            <v>P330251 - Parish of Barton Mills</v>
          </cell>
          <cell r="C195">
            <v>6600</v>
          </cell>
        </row>
        <row r="196">
          <cell r="A196" t="str">
            <v xml:space="preserve">P330252 </v>
          </cell>
          <cell r="B196" t="str">
            <v>P330252 - Parish of Beck Row with Kenny Hill</v>
          </cell>
          <cell r="C196">
            <v>2500</v>
          </cell>
        </row>
        <row r="197">
          <cell r="A197" t="str">
            <v xml:space="preserve">P330254 </v>
          </cell>
          <cell r="B197" t="str">
            <v>P330254 - Parish of Brandon with Wangford</v>
          </cell>
          <cell r="C197">
            <v>3000</v>
          </cell>
        </row>
        <row r="198">
          <cell r="A198" t="str">
            <v xml:space="preserve">P330257 </v>
          </cell>
          <cell r="B198" t="str">
            <v>P330257 - Parish of Cowlinge</v>
          </cell>
          <cell r="C198">
            <v>500</v>
          </cell>
        </row>
        <row r="199">
          <cell r="A199" t="str">
            <v xml:space="preserve">P330258 </v>
          </cell>
          <cell r="B199" t="str">
            <v>P330258 - Parish of Dalham</v>
          </cell>
          <cell r="C199">
            <v>1600</v>
          </cell>
        </row>
        <row r="200">
          <cell r="A200" t="str">
            <v xml:space="preserve">P330259 </v>
          </cell>
          <cell r="B200" t="str">
            <v>P330259 - Parish of Elveden</v>
          </cell>
          <cell r="C200">
            <v>1305</v>
          </cell>
        </row>
        <row r="201">
          <cell r="A201" t="str">
            <v xml:space="preserve">P330260 </v>
          </cell>
          <cell r="B201" t="str">
            <v>P330260 - Parish of Eriswell</v>
          </cell>
          <cell r="C201">
            <v>2000</v>
          </cell>
        </row>
        <row r="202">
          <cell r="A202" t="str">
            <v xml:space="preserve">P330261 </v>
          </cell>
          <cell r="B202" t="str">
            <v>P330261 - Parish of Exning St Agnes</v>
          </cell>
          <cell r="C202">
            <v>7000</v>
          </cell>
        </row>
        <row r="203">
          <cell r="A203" t="str">
            <v xml:space="preserve">P330262 </v>
          </cell>
          <cell r="B203" t="str">
            <v>P330262 - Parish of Exning St Martin with the Chapel of Landwade</v>
          </cell>
          <cell r="C203">
            <v>1000</v>
          </cell>
        </row>
        <row r="204">
          <cell r="A204" t="str">
            <v xml:space="preserve">P330264 </v>
          </cell>
          <cell r="B204" t="str">
            <v>P330264 - Parish of Freckenham</v>
          </cell>
          <cell r="C204">
            <v>1977</v>
          </cell>
        </row>
        <row r="205">
          <cell r="A205" t="str">
            <v xml:space="preserve">P330265 </v>
          </cell>
          <cell r="B205" t="str">
            <v>P330265 - Parish of Gazeley</v>
          </cell>
          <cell r="C205">
            <v>2392</v>
          </cell>
        </row>
        <row r="206">
          <cell r="A206" t="str">
            <v xml:space="preserve">P330267 </v>
          </cell>
          <cell r="B206" t="str">
            <v>P330267 - Parish of Higham Green</v>
          </cell>
          <cell r="C206">
            <v>1000</v>
          </cell>
        </row>
        <row r="207">
          <cell r="A207" t="str">
            <v xml:space="preserve">P330268 </v>
          </cell>
          <cell r="B207" t="str">
            <v>P330268 - Parish of Icklingham</v>
          </cell>
          <cell r="C207">
            <v>2478</v>
          </cell>
        </row>
        <row r="208">
          <cell r="A208" t="str">
            <v xml:space="preserve">P330270 </v>
          </cell>
          <cell r="B208" t="str">
            <v>P330270 - Parish of Lakenheath</v>
          </cell>
          <cell r="C208">
            <v>3000</v>
          </cell>
        </row>
        <row r="209">
          <cell r="A209" t="str">
            <v xml:space="preserve">P330272 </v>
          </cell>
          <cell r="B209" t="str">
            <v>P330272 - Parish of Mildenhall</v>
          </cell>
          <cell r="C209">
            <v>4000</v>
          </cell>
        </row>
        <row r="210">
          <cell r="A210" t="str">
            <v xml:space="preserve">P330273 </v>
          </cell>
          <cell r="B210" t="str">
            <v>P330273 - Parish of Moulton</v>
          </cell>
          <cell r="C210">
            <v>2600</v>
          </cell>
        </row>
        <row r="211">
          <cell r="A211" t="str">
            <v xml:space="preserve">P330276 </v>
          </cell>
          <cell r="B211" t="str">
            <v>P330276 - Parish of Ousden</v>
          </cell>
          <cell r="C211">
            <v>1000</v>
          </cell>
        </row>
        <row r="212">
          <cell r="A212" t="str">
            <v xml:space="preserve">P330277 </v>
          </cell>
          <cell r="B212" t="str">
            <v>P330277 - Parish of Santon Downham</v>
          </cell>
          <cell r="C212">
            <v>2000</v>
          </cell>
        </row>
        <row r="213">
          <cell r="A213" t="str">
            <v xml:space="preserve">P330279 </v>
          </cell>
          <cell r="B213" t="str">
            <v>P330279 - Parish of Tuddenham with Cavenham</v>
          </cell>
          <cell r="C213">
            <v>2333</v>
          </cell>
        </row>
        <row r="214">
          <cell r="A214" t="str">
            <v xml:space="preserve">P330280 </v>
          </cell>
          <cell r="B214" t="str">
            <v>P330280 - Parish of West Row</v>
          </cell>
          <cell r="C214">
            <v>8000</v>
          </cell>
        </row>
        <row r="215">
          <cell r="A215" t="str">
            <v xml:space="preserve">P330281 </v>
          </cell>
          <cell r="B215" t="str">
            <v>P330281 - Parish of Worlington</v>
          </cell>
          <cell r="C215">
            <v>3000</v>
          </cell>
        </row>
        <row r="216">
          <cell r="A216" t="str">
            <v xml:space="preserve">P330282 </v>
          </cell>
          <cell r="B216" t="str">
            <v>P330282 - Parish of Acton</v>
          </cell>
          <cell r="C216">
            <v>2500</v>
          </cell>
        </row>
        <row r="217">
          <cell r="A217" t="str">
            <v xml:space="preserve">P330284 </v>
          </cell>
          <cell r="B217" t="str">
            <v>P330284 - Parish of Assington</v>
          </cell>
          <cell r="C217">
            <v>4300</v>
          </cell>
        </row>
        <row r="218">
          <cell r="A218" t="str">
            <v xml:space="preserve">P330285 </v>
          </cell>
          <cell r="B218" t="str">
            <v>P330285 - Parish of Boxford</v>
          </cell>
          <cell r="C218">
            <v>7500</v>
          </cell>
        </row>
        <row r="219">
          <cell r="A219" t="str">
            <v xml:space="preserve">P330286 </v>
          </cell>
          <cell r="B219" t="str">
            <v>P330286 - Parish of Bures</v>
          </cell>
          <cell r="C219">
            <v>27000</v>
          </cell>
        </row>
        <row r="220">
          <cell r="A220" t="str">
            <v xml:space="preserve">P330288 </v>
          </cell>
          <cell r="B220" t="str">
            <v>P330288 - Parish of Great Cornard</v>
          </cell>
          <cell r="C220">
            <v>7500</v>
          </cell>
        </row>
        <row r="221">
          <cell r="A221" t="str">
            <v xml:space="preserve">P330289 </v>
          </cell>
          <cell r="B221" t="str">
            <v>P330289 - Parish of Little Cornard</v>
          </cell>
          <cell r="C221">
            <v>4225</v>
          </cell>
        </row>
        <row r="222">
          <cell r="A222" t="str">
            <v xml:space="preserve">P330291 </v>
          </cell>
          <cell r="B222" t="str">
            <v>P330291 - Parish of Glemsford</v>
          </cell>
          <cell r="C222">
            <v>3000</v>
          </cell>
        </row>
        <row r="223">
          <cell r="A223" t="str">
            <v xml:space="preserve">P330292 </v>
          </cell>
          <cell r="B223" t="str">
            <v>P330292 - Parish of Great Waldingfield</v>
          </cell>
          <cell r="C223">
            <v>2000</v>
          </cell>
        </row>
        <row r="224">
          <cell r="A224" t="str">
            <v xml:space="preserve">P330293 </v>
          </cell>
          <cell r="B224" t="str">
            <v>P330293 - Parish of Groton</v>
          </cell>
          <cell r="C224">
            <v>2000</v>
          </cell>
        </row>
        <row r="225">
          <cell r="A225" t="str">
            <v xml:space="preserve">P330296 </v>
          </cell>
          <cell r="B225" t="str">
            <v>P330296 - Parish of Long Melford</v>
          </cell>
          <cell r="C225">
            <v>22904</v>
          </cell>
        </row>
        <row r="226">
          <cell r="A226" t="str">
            <v xml:space="preserve">P330298 </v>
          </cell>
          <cell r="B226" t="str">
            <v>P330298 - Parish of Newton Green</v>
          </cell>
          <cell r="C226">
            <v>2000</v>
          </cell>
        </row>
        <row r="227">
          <cell r="A227" t="str">
            <v xml:space="preserve">P330302 </v>
          </cell>
          <cell r="B227" t="str">
            <v>P330302 - Parish of Sudbury All Saints</v>
          </cell>
          <cell r="C227">
            <v>6500</v>
          </cell>
        </row>
        <row r="228">
          <cell r="A228" t="str">
            <v xml:space="preserve">P330303 </v>
          </cell>
          <cell r="B228" t="str">
            <v>P330303 - Parish of Sudbury St Gregory</v>
          </cell>
          <cell r="C228">
            <v>22256</v>
          </cell>
        </row>
        <row r="229">
          <cell r="A229" t="str">
            <v xml:space="preserve">P330306 </v>
          </cell>
          <cell r="B229" t="str">
            <v>P330306 - Parish of Barrow</v>
          </cell>
          <cell r="C229">
            <v>2500</v>
          </cell>
        </row>
        <row r="230">
          <cell r="A230" t="str">
            <v xml:space="preserve">P330307 </v>
          </cell>
          <cell r="B230" t="str">
            <v>P330307 - Parish of Bradfield Combust</v>
          </cell>
          <cell r="C230">
            <v>1500</v>
          </cell>
        </row>
        <row r="231">
          <cell r="A231" t="str">
            <v xml:space="preserve">P330308 </v>
          </cell>
          <cell r="B231" t="str">
            <v>P330308 - Parish of Brockley</v>
          </cell>
          <cell r="C231">
            <v>6000</v>
          </cell>
        </row>
        <row r="232">
          <cell r="A232" t="str">
            <v xml:space="preserve">P330309 </v>
          </cell>
          <cell r="B232" t="str">
            <v>P330309 - Parish of Bury St Edmunds All Saints</v>
          </cell>
          <cell r="C232">
            <v>15832</v>
          </cell>
        </row>
        <row r="233">
          <cell r="A233" t="str">
            <v xml:space="preserve">P330310 </v>
          </cell>
          <cell r="B233" t="str">
            <v>P330310 - Parish of Bury St Edmunds St George</v>
          </cell>
          <cell r="C233">
            <v>3000</v>
          </cell>
        </row>
        <row r="234">
          <cell r="A234" t="str">
            <v xml:space="preserve">P330311 </v>
          </cell>
          <cell r="B234" t="str">
            <v>P330311 - Parish of Bury St Edmunds St John</v>
          </cell>
          <cell r="C234">
            <v>14400</v>
          </cell>
        </row>
        <row r="235">
          <cell r="A235" t="str">
            <v xml:space="preserve">P330312 </v>
          </cell>
          <cell r="B235" t="str">
            <v>P330312 - Parish of Bury St Edmunds St Mary</v>
          </cell>
          <cell r="C235">
            <v>63040</v>
          </cell>
        </row>
        <row r="236">
          <cell r="A236" t="str">
            <v xml:space="preserve">P330314 </v>
          </cell>
          <cell r="B236" t="str">
            <v>P330314 - Parish of Chevington</v>
          </cell>
          <cell r="C236">
            <v>4989</v>
          </cell>
        </row>
        <row r="237">
          <cell r="A237" t="str">
            <v xml:space="preserve">P330316 </v>
          </cell>
          <cell r="B237" t="str">
            <v>P330316 - Parish of Denham St Mary</v>
          </cell>
          <cell r="C237">
            <v>500</v>
          </cell>
        </row>
        <row r="238">
          <cell r="A238" t="str">
            <v xml:space="preserve">P330320 </v>
          </cell>
          <cell r="B238" t="str">
            <v>P330320 - Parish of Great Barton</v>
          </cell>
          <cell r="C238">
            <v>13520</v>
          </cell>
        </row>
        <row r="239">
          <cell r="A239" t="str">
            <v xml:space="preserve">P330321 </v>
          </cell>
          <cell r="B239" t="str">
            <v>P330321 - Parish of Horringer</v>
          </cell>
          <cell r="C239">
            <v>9749</v>
          </cell>
        </row>
        <row r="240">
          <cell r="A240" t="str">
            <v xml:space="preserve">P330324 </v>
          </cell>
          <cell r="B240" t="str">
            <v>P330324 - Parish of Hargrave</v>
          </cell>
          <cell r="C240">
            <v>3000</v>
          </cell>
        </row>
        <row r="241">
          <cell r="A241" t="str">
            <v xml:space="preserve">P330326 </v>
          </cell>
          <cell r="B241" t="str">
            <v>P330326 - Parish of Ingham with Ampton &amp; Great &amp; Little Livermere</v>
          </cell>
          <cell r="C241">
            <v>9800</v>
          </cell>
        </row>
        <row r="242">
          <cell r="A242" t="str">
            <v xml:space="preserve">P330328 </v>
          </cell>
          <cell r="B242" t="str">
            <v>P330328 - Parish of Little Saxham</v>
          </cell>
          <cell r="C242">
            <v>700</v>
          </cell>
        </row>
        <row r="243">
          <cell r="A243" t="str">
            <v xml:space="preserve">P330329 </v>
          </cell>
          <cell r="B243" t="str">
            <v>P330329 - Parish of Nowton</v>
          </cell>
          <cell r="C243">
            <v>1500</v>
          </cell>
        </row>
        <row r="244">
          <cell r="A244" t="str">
            <v xml:space="preserve">P330330 </v>
          </cell>
          <cell r="B244" t="str">
            <v>P330330 - Parish of Risby</v>
          </cell>
          <cell r="C244">
            <v>6000</v>
          </cell>
        </row>
        <row r="245">
          <cell r="A245" t="str">
            <v xml:space="preserve">P330331 </v>
          </cell>
          <cell r="B245" t="str">
            <v>P330331 - Parish of Stanningfield</v>
          </cell>
          <cell r="C245">
            <v>2000</v>
          </cell>
        </row>
        <row r="246">
          <cell r="A246" t="str">
            <v xml:space="preserve">P330333 </v>
          </cell>
          <cell r="B246" t="str">
            <v>P330333 - Parish of Westley</v>
          </cell>
          <cell r="C246">
            <v>2477</v>
          </cell>
        </row>
        <row r="247">
          <cell r="A247" t="str">
            <v xml:space="preserve">P330335 </v>
          </cell>
          <cell r="B247" t="str">
            <v>P330335 - Parish of Whepstead</v>
          </cell>
          <cell r="C247">
            <v>6200</v>
          </cell>
        </row>
        <row r="248">
          <cell r="A248" t="str">
            <v xml:space="preserve">P330337 </v>
          </cell>
          <cell r="B248" t="str">
            <v>P330337 - Parish of Barsham with Shipmeadow</v>
          </cell>
          <cell r="C248">
            <v>6000</v>
          </cell>
        </row>
        <row r="249">
          <cell r="A249" t="str">
            <v xml:space="preserve">P330338 </v>
          </cell>
          <cell r="B249" t="str">
            <v>P330338 - Parish of Beccles</v>
          </cell>
          <cell r="C249">
            <v>25000</v>
          </cell>
        </row>
        <row r="250">
          <cell r="A250" t="str">
            <v xml:space="preserve">P330340 </v>
          </cell>
          <cell r="B250" t="str">
            <v>P330340 - Parish of Bungay</v>
          </cell>
          <cell r="C250">
            <v>2500</v>
          </cell>
        </row>
        <row r="251">
          <cell r="A251" t="str">
            <v xml:space="preserve">P330341 </v>
          </cell>
          <cell r="B251" t="str">
            <v>P330341 - Parish of Flixton</v>
          </cell>
          <cell r="C251">
            <v>500</v>
          </cell>
        </row>
        <row r="252">
          <cell r="A252" t="str">
            <v xml:space="preserve">P330345 </v>
          </cell>
          <cell r="B252" t="str">
            <v>P330345 - Parish of Ilketshall St John</v>
          </cell>
          <cell r="C252">
            <v>250</v>
          </cell>
        </row>
        <row r="253">
          <cell r="A253" t="str">
            <v xml:space="preserve">P330346 </v>
          </cell>
          <cell r="B253" t="str">
            <v>P330346 - Parish of Ilketshall St Lawrence</v>
          </cell>
          <cell r="C253">
            <v>500</v>
          </cell>
        </row>
        <row r="254">
          <cell r="A254" t="str">
            <v xml:space="preserve">P330347 </v>
          </cell>
          <cell r="B254" t="str">
            <v>P330347 - Parish of Ilketshall St Margaret</v>
          </cell>
          <cell r="C254">
            <v>1513</v>
          </cell>
        </row>
        <row r="255">
          <cell r="A255" t="str">
            <v xml:space="preserve">P330350 </v>
          </cell>
          <cell r="B255" t="str">
            <v>P330350 - Parish of Ringsfield</v>
          </cell>
          <cell r="C255">
            <v>1800</v>
          </cell>
        </row>
        <row r="256">
          <cell r="A256" t="str">
            <v xml:space="preserve">P330352 </v>
          </cell>
          <cell r="B256" t="str">
            <v>P330352 - Parish of Shadingfield</v>
          </cell>
          <cell r="C256">
            <v>2330</v>
          </cell>
        </row>
        <row r="257">
          <cell r="A257" t="str">
            <v xml:space="preserve">P330365 </v>
          </cell>
          <cell r="B257" t="str">
            <v>P330365 - Parish of Bramfield</v>
          </cell>
          <cell r="C257">
            <v>5000</v>
          </cell>
        </row>
        <row r="258">
          <cell r="A258" t="str">
            <v xml:space="preserve">P330366 </v>
          </cell>
          <cell r="B258" t="str">
            <v>P330366 - Parish of Brampton</v>
          </cell>
          <cell r="C258">
            <v>800</v>
          </cell>
        </row>
        <row r="259">
          <cell r="A259" t="str">
            <v xml:space="preserve">P330370 </v>
          </cell>
          <cell r="B259" t="str">
            <v>P330370 - Parish of Cratfield</v>
          </cell>
          <cell r="C259">
            <v>1200</v>
          </cell>
        </row>
        <row r="260">
          <cell r="A260" t="str">
            <v xml:space="preserve">P330371 </v>
          </cell>
          <cell r="B260" t="str">
            <v>P330371 - Parish of Frostenden</v>
          </cell>
          <cell r="C260">
            <v>1224</v>
          </cell>
        </row>
        <row r="261">
          <cell r="A261" t="str">
            <v xml:space="preserve">P330372 </v>
          </cell>
          <cell r="B261" t="str">
            <v>P330372 - Parish of Halesworth</v>
          </cell>
          <cell r="C261">
            <v>2000</v>
          </cell>
        </row>
        <row r="262">
          <cell r="A262" t="str">
            <v xml:space="preserve">P330374 </v>
          </cell>
          <cell r="B262" t="str">
            <v>P330374 - Parish of Holton St Peter</v>
          </cell>
          <cell r="C262">
            <v>5484</v>
          </cell>
        </row>
        <row r="263">
          <cell r="A263" t="str">
            <v xml:space="preserve">P330377 </v>
          </cell>
          <cell r="B263" t="str">
            <v>P330377 - Parish of Reydon</v>
          </cell>
          <cell r="C263">
            <v>7573</v>
          </cell>
        </row>
        <row r="264">
          <cell r="A264" t="str">
            <v xml:space="preserve">P330378 </v>
          </cell>
          <cell r="B264" t="str">
            <v>P330378 - Parish of Sotherton</v>
          </cell>
          <cell r="C264">
            <v>261</v>
          </cell>
        </row>
        <row r="265">
          <cell r="A265" t="str">
            <v xml:space="preserve">P330379 </v>
          </cell>
          <cell r="B265" t="str">
            <v>P330379 - Parish of South Cove</v>
          </cell>
          <cell r="C265">
            <v>2600</v>
          </cell>
        </row>
        <row r="266">
          <cell r="A266" t="str">
            <v xml:space="preserve">P330380 </v>
          </cell>
          <cell r="B266" t="str">
            <v>P330380 - Parish of Southwold</v>
          </cell>
          <cell r="C266">
            <v>30000</v>
          </cell>
        </row>
        <row r="267">
          <cell r="A267" t="str">
            <v xml:space="preserve">P330381 </v>
          </cell>
          <cell r="B267" t="str">
            <v>P330381 - Parish of Spexhall</v>
          </cell>
          <cell r="C267">
            <v>1572</v>
          </cell>
        </row>
        <row r="268">
          <cell r="A268" t="str">
            <v xml:space="preserve">P330383 </v>
          </cell>
          <cell r="B268" t="str">
            <v>P330383 - Parish of Thorington</v>
          </cell>
          <cell r="C268">
            <v>741</v>
          </cell>
        </row>
        <row r="269">
          <cell r="A269" t="str">
            <v xml:space="preserve">P330384 </v>
          </cell>
          <cell r="B269" t="str">
            <v>P330384 - Parish of Uggeshall</v>
          </cell>
          <cell r="C269">
            <v>5000</v>
          </cell>
        </row>
        <row r="270">
          <cell r="A270" t="str">
            <v xml:space="preserve">P330385 </v>
          </cell>
          <cell r="B270" t="str">
            <v>P330385 - Parish of Walberswick</v>
          </cell>
          <cell r="C270">
            <v>4000</v>
          </cell>
        </row>
        <row r="271">
          <cell r="A271" t="str">
            <v xml:space="preserve">P330387 </v>
          </cell>
          <cell r="B271" t="str">
            <v>P330387 - Parish of Wangford</v>
          </cell>
          <cell r="C271">
            <v>1787</v>
          </cell>
        </row>
        <row r="272">
          <cell r="A272" t="str">
            <v xml:space="preserve">P330388 </v>
          </cell>
          <cell r="B272" t="str">
            <v>P330388 - Parish of Wenhaston</v>
          </cell>
          <cell r="C272">
            <v>3000</v>
          </cell>
        </row>
        <row r="273">
          <cell r="A273" t="str">
            <v xml:space="preserve">P330390 </v>
          </cell>
          <cell r="B273" t="str">
            <v>P330390 - Parish of Wissett</v>
          </cell>
          <cell r="C273">
            <v>5920</v>
          </cell>
        </row>
        <row r="274">
          <cell r="A274" t="str">
            <v xml:space="preserve">P330392 </v>
          </cell>
          <cell r="B274" t="str">
            <v>P330392 - Parish of Bedingfield</v>
          </cell>
          <cell r="C274">
            <v>800</v>
          </cell>
        </row>
        <row r="275">
          <cell r="A275" t="str">
            <v xml:space="preserve">P330395 </v>
          </cell>
          <cell r="B275" t="str">
            <v>P330395 - Parish of Burgate</v>
          </cell>
          <cell r="C275">
            <v>1401</v>
          </cell>
        </row>
        <row r="276">
          <cell r="A276" t="str">
            <v xml:space="preserve">P330396 </v>
          </cell>
          <cell r="B276" t="str">
            <v>P330396 - Parish of Eye with Braiseworth</v>
          </cell>
          <cell r="C276">
            <v>5200</v>
          </cell>
        </row>
        <row r="277">
          <cell r="A277" t="str">
            <v xml:space="preserve">P330397 </v>
          </cell>
          <cell r="B277" t="str">
            <v>P330397 - Parish of Gislingham</v>
          </cell>
          <cell r="C277">
            <v>3300</v>
          </cell>
        </row>
        <row r="278">
          <cell r="A278" t="str">
            <v xml:space="preserve">P330398 </v>
          </cell>
          <cell r="B278" t="str">
            <v>P330398 - Parish of Mellis</v>
          </cell>
          <cell r="C278">
            <v>983</v>
          </cell>
        </row>
        <row r="279">
          <cell r="A279" t="str">
            <v xml:space="preserve">P330399 </v>
          </cell>
          <cell r="B279" t="str">
            <v>P330399 - Parish of Occold</v>
          </cell>
          <cell r="C279">
            <v>3000</v>
          </cell>
        </row>
        <row r="280">
          <cell r="A280" t="str">
            <v xml:space="preserve">P330400 </v>
          </cell>
          <cell r="B280" t="str">
            <v>P330400 - Parish of Palgrave</v>
          </cell>
          <cell r="C280">
            <v>5176</v>
          </cell>
        </row>
        <row r="281">
          <cell r="A281" t="str">
            <v xml:space="preserve">P330401 </v>
          </cell>
          <cell r="B281" t="str">
            <v>P330401 - Parish of Redgrave cum Botesdale with the Rickinghalls</v>
          </cell>
          <cell r="C281">
            <v>10000</v>
          </cell>
        </row>
        <row r="282">
          <cell r="A282" t="str">
            <v xml:space="preserve">P330403 </v>
          </cell>
          <cell r="B282" t="str">
            <v>P330403 - Parish of Redlingfield</v>
          </cell>
          <cell r="C282">
            <v>1346</v>
          </cell>
        </row>
        <row r="283">
          <cell r="A283" t="str">
            <v xml:space="preserve">P330405 </v>
          </cell>
          <cell r="B283" t="str">
            <v>P330405 - Parish of Stuston</v>
          </cell>
          <cell r="C283">
            <v>1000</v>
          </cell>
        </row>
        <row r="284">
          <cell r="A284" t="str">
            <v xml:space="preserve">P330406 </v>
          </cell>
          <cell r="B284" t="str">
            <v>P330406 - Parish of Thorndon with Rishangles</v>
          </cell>
          <cell r="C284">
            <v>3200</v>
          </cell>
        </row>
        <row r="285">
          <cell r="A285" t="str">
            <v xml:space="preserve">P330407 </v>
          </cell>
          <cell r="B285" t="str">
            <v>P330407 - Parish of Thornham Magna</v>
          </cell>
          <cell r="C285">
            <v>600</v>
          </cell>
        </row>
        <row r="286">
          <cell r="A286" t="str">
            <v xml:space="preserve">P330408 </v>
          </cell>
          <cell r="B286" t="str">
            <v>P330408 - Parish of Thornham Parva</v>
          </cell>
          <cell r="C286">
            <v>1500</v>
          </cell>
        </row>
        <row r="287">
          <cell r="A287" t="str">
            <v xml:space="preserve">P330410 </v>
          </cell>
          <cell r="B287" t="str">
            <v>P330410 - Parish of Wortham</v>
          </cell>
          <cell r="C287">
            <v>8151</v>
          </cell>
        </row>
        <row r="288">
          <cell r="A288" t="str">
            <v xml:space="preserve">P330411 </v>
          </cell>
          <cell r="B288" t="str">
            <v>P330411 - Parish of Yaxley</v>
          </cell>
          <cell r="C288">
            <v>737</v>
          </cell>
        </row>
        <row r="289">
          <cell r="A289" t="str">
            <v xml:space="preserve">P330412 </v>
          </cell>
          <cell r="B289" t="str">
            <v>P330412 - Parish of Athelington</v>
          </cell>
          <cell r="C289">
            <v>315</v>
          </cell>
        </row>
        <row r="290">
          <cell r="A290" t="str">
            <v xml:space="preserve">P330413 </v>
          </cell>
          <cell r="B290" t="str">
            <v>P330413 - Parish of Bedfield</v>
          </cell>
          <cell r="C290">
            <v>2425</v>
          </cell>
        </row>
        <row r="291">
          <cell r="A291" t="str">
            <v xml:space="preserve">P330416 </v>
          </cell>
          <cell r="B291" t="str">
            <v>P330416 - Parish of Fressingfield</v>
          </cell>
          <cell r="C291">
            <v>8519</v>
          </cell>
        </row>
        <row r="292">
          <cell r="A292" t="str">
            <v xml:space="preserve">P330418 </v>
          </cell>
          <cell r="B292" t="str">
            <v>P330418 - Parish of Hoxne</v>
          </cell>
          <cell r="C292">
            <v>4500</v>
          </cell>
        </row>
        <row r="293">
          <cell r="A293" t="str">
            <v xml:space="preserve">P330419 </v>
          </cell>
          <cell r="B293" t="str">
            <v>P330419 - Parish of Laxfield</v>
          </cell>
          <cell r="C293">
            <v>3000</v>
          </cell>
        </row>
        <row r="294">
          <cell r="A294" t="str">
            <v xml:space="preserve">P330420 </v>
          </cell>
          <cell r="B294" t="str">
            <v>P330420 - Parish of Mendham</v>
          </cell>
          <cell r="C294">
            <v>10142</v>
          </cell>
        </row>
        <row r="295">
          <cell r="A295" t="str">
            <v xml:space="preserve">P330421 </v>
          </cell>
          <cell r="B295" t="str">
            <v>P330421 - Parish of Metfield</v>
          </cell>
          <cell r="C295">
            <v>2500</v>
          </cell>
        </row>
        <row r="296">
          <cell r="A296" t="str">
            <v xml:space="preserve">P330422 </v>
          </cell>
          <cell r="B296" t="str">
            <v>P330422 - Parish of Monk Soham</v>
          </cell>
          <cell r="C296">
            <v>1500</v>
          </cell>
        </row>
        <row r="297">
          <cell r="A297" t="str">
            <v xml:space="preserve">P330423 </v>
          </cell>
          <cell r="B297" t="str">
            <v>P330423 - Parish of Stradbroke</v>
          </cell>
          <cell r="C297">
            <v>1000</v>
          </cell>
        </row>
        <row r="298">
          <cell r="A298" t="str">
            <v xml:space="preserve">P330424 </v>
          </cell>
          <cell r="B298" t="str">
            <v>P330424 - Parish of Syleham</v>
          </cell>
          <cell r="C298">
            <v>1892</v>
          </cell>
        </row>
        <row r="299">
          <cell r="A299" t="str">
            <v xml:space="preserve">P330425 </v>
          </cell>
          <cell r="B299" t="str">
            <v>P330425 - Parish of Tannington</v>
          </cell>
          <cell r="C299">
            <v>1300</v>
          </cell>
        </row>
        <row r="300">
          <cell r="A300" t="str">
            <v xml:space="preserve">P330426 </v>
          </cell>
          <cell r="B300" t="str">
            <v>P330426 - Parish of Weybread</v>
          </cell>
          <cell r="C300">
            <v>845</v>
          </cell>
        </row>
        <row r="301">
          <cell r="A301" t="str">
            <v xml:space="preserve">P330427 </v>
          </cell>
          <cell r="B301" t="str">
            <v>P330427 - Parish of Wilby</v>
          </cell>
          <cell r="C301">
            <v>2426</v>
          </cell>
        </row>
        <row r="302">
          <cell r="A302" t="str">
            <v xml:space="preserve">P330428 </v>
          </cell>
          <cell r="B302" t="str">
            <v>P330428 - Parish of Wingfield</v>
          </cell>
          <cell r="C302">
            <v>5000</v>
          </cell>
        </row>
        <row r="303">
          <cell r="A303" t="str">
            <v xml:space="preserve">P330429 </v>
          </cell>
          <cell r="B303" t="str">
            <v>P330429 - Parish of Withersdale</v>
          </cell>
          <cell r="C303">
            <v>947</v>
          </cell>
        </row>
        <row r="304">
          <cell r="A304" t="str">
            <v xml:space="preserve">P330430 </v>
          </cell>
          <cell r="B304" t="str">
            <v>P330430 - Parish of Worlingworth with Southolt</v>
          </cell>
          <cell r="C304">
            <v>2100</v>
          </cell>
        </row>
        <row r="305">
          <cell r="A305" t="str">
            <v xml:space="preserve">P330431 </v>
          </cell>
          <cell r="B305" t="str">
            <v>P330431 - Parish of Ashfield cum Thorpe</v>
          </cell>
          <cell r="C305">
            <v>400</v>
          </cell>
        </row>
        <row r="306">
          <cell r="A306" t="str">
            <v xml:space="preserve">P330432 </v>
          </cell>
          <cell r="B306" t="str">
            <v>P330432 - Parish of Aspall</v>
          </cell>
          <cell r="C306">
            <v>750</v>
          </cell>
        </row>
        <row r="307">
          <cell r="A307" t="str">
            <v xml:space="preserve">P330433 </v>
          </cell>
          <cell r="B307" t="str">
            <v>P330433 - Parish of Badingham</v>
          </cell>
          <cell r="C307">
            <v>1000</v>
          </cell>
        </row>
        <row r="308">
          <cell r="A308" t="str">
            <v xml:space="preserve">P330434 </v>
          </cell>
          <cell r="B308" t="str">
            <v>P330434 - Parish of Bruisyard</v>
          </cell>
          <cell r="C308">
            <v>2069</v>
          </cell>
        </row>
        <row r="309">
          <cell r="A309" t="str">
            <v xml:space="preserve">P330435 </v>
          </cell>
          <cell r="B309" t="str">
            <v>P330435 - Parish of Brandeston</v>
          </cell>
          <cell r="C309">
            <v>5000</v>
          </cell>
        </row>
        <row r="310">
          <cell r="A310" t="str">
            <v xml:space="preserve">P330436 </v>
          </cell>
          <cell r="B310" t="str">
            <v>P330436 - Parish of Campsea Ashe</v>
          </cell>
          <cell r="C310">
            <v>1470</v>
          </cell>
        </row>
        <row r="311">
          <cell r="A311" t="str">
            <v xml:space="preserve">P330437 </v>
          </cell>
          <cell r="B311" t="str">
            <v>P330437 - Charsfield with Debach</v>
          </cell>
          <cell r="C311">
            <v>2000</v>
          </cell>
        </row>
        <row r="312">
          <cell r="A312" t="str">
            <v xml:space="preserve">P330438 </v>
          </cell>
          <cell r="B312" t="str">
            <v>P330438 - Parish of Cransford</v>
          </cell>
          <cell r="C312">
            <v>1910</v>
          </cell>
        </row>
        <row r="313">
          <cell r="A313" t="str">
            <v xml:space="preserve">P330439 </v>
          </cell>
          <cell r="B313" t="str">
            <v>P330439 - Parish of Cretingham</v>
          </cell>
          <cell r="C313">
            <v>3196</v>
          </cell>
        </row>
        <row r="314">
          <cell r="A314" t="str">
            <v xml:space="preserve">P330440 </v>
          </cell>
          <cell r="B314" t="str">
            <v>P330440 - Parish of Dallinghoo</v>
          </cell>
          <cell r="C314">
            <v>1500</v>
          </cell>
        </row>
        <row r="315">
          <cell r="A315" t="str">
            <v xml:space="preserve">P330441 </v>
          </cell>
          <cell r="B315" t="str">
            <v>P330441 - Parish of Debenham</v>
          </cell>
          <cell r="C315">
            <v>10707</v>
          </cell>
        </row>
        <row r="316">
          <cell r="A316" t="str">
            <v xml:space="preserve">P330442 </v>
          </cell>
          <cell r="B316" t="str">
            <v>P330442 - Parish of Dennington</v>
          </cell>
          <cell r="C316">
            <v>2000</v>
          </cell>
        </row>
        <row r="317">
          <cell r="A317" t="str">
            <v xml:space="preserve">P330443 </v>
          </cell>
          <cell r="B317" t="str">
            <v>P330443 - Parish of Earl Soham</v>
          </cell>
          <cell r="C317">
            <v>4680</v>
          </cell>
        </row>
        <row r="318">
          <cell r="A318" t="str">
            <v xml:space="preserve">P330444 </v>
          </cell>
          <cell r="B318" t="str">
            <v>P330444 - Parish of Easton</v>
          </cell>
          <cell r="C318">
            <v>2005</v>
          </cell>
        </row>
        <row r="319">
          <cell r="A319" t="str">
            <v xml:space="preserve">P330445 </v>
          </cell>
          <cell r="B319" t="str">
            <v>P330445 - Parish of Framlingham</v>
          </cell>
          <cell r="C319">
            <v>17716</v>
          </cell>
        </row>
        <row r="320">
          <cell r="A320" t="str">
            <v xml:space="preserve">P330446 </v>
          </cell>
          <cell r="B320" t="str">
            <v>P330446 - Parish of Framsden</v>
          </cell>
          <cell r="C320">
            <v>2000</v>
          </cell>
        </row>
        <row r="321">
          <cell r="A321" t="str">
            <v xml:space="preserve">P330447 </v>
          </cell>
          <cell r="B321" t="str">
            <v>P330447 - Parish of Hacheston</v>
          </cell>
          <cell r="C321">
            <v>3000</v>
          </cell>
        </row>
        <row r="322">
          <cell r="A322" t="str">
            <v xml:space="preserve">P330448 </v>
          </cell>
          <cell r="B322" t="str">
            <v>P330448 - Parish of Helmingham</v>
          </cell>
          <cell r="C322">
            <v>600</v>
          </cell>
        </row>
        <row r="323">
          <cell r="A323" t="str">
            <v xml:space="preserve">P330449 </v>
          </cell>
          <cell r="B323" t="str">
            <v>P330449 - Parish of Hoo</v>
          </cell>
          <cell r="C323">
            <v>4000</v>
          </cell>
        </row>
        <row r="324">
          <cell r="A324" t="str">
            <v xml:space="preserve">P330450 </v>
          </cell>
          <cell r="B324" t="str">
            <v>P330450 - Parish of Kenton</v>
          </cell>
          <cell r="C324">
            <v>1000</v>
          </cell>
        </row>
        <row r="325">
          <cell r="A325" t="str">
            <v xml:space="preserve">P330451 </v>
          </cell>
          <cell r="B325" t="str">
            <v>P330451 - Parish of Kettleburgh</v>
          </cell>
          <cell r="C325">
            <v>5000</v>
          </cell>
        </row>
        <row r="326">
          <cell r="A326" t="str">
            <v xml:space="preserve">P330453 </v>
          </cell>
          <cell r="B326" t="str">
            <v>P330453 - Parish of Marlesford</v>
          </cell>
          <cell r="C326">
            <v>2500</v>
          </cell>
        </row>
        <row r="327">
          <cell r="A327" t="str">
            <v xml:space="preserve">P330454 </v>
          </cell>
          <cell r="B327" t="str">
            <v>P330454 - Parish of Monewden</v>
          </cell>
          <cell r="C327">
            <v>2615</v>
          </cell>
        </row>
        <row r="328">
          <cell r="A328" t="str">
            <v xml:space="preserve">P330455 </v>
          </cell>
          <cell r="B328" t="str">
            <v>P330455 - Parish of Parham</v>
          </cell>
          <cell r="C328">
            <v>4410</v>
          </cell>
        </row>
        <row r="329">
          <cell r="A329" t="str">
            <v xml:space="preserve">P330456 </v>
          </cell>
          <cell r="B329" t="str">
            <v>P330456 - Parish of Pettaugh</v>
          </cell>
          <cell r="C329">
            <v>2700</v>
          </cell>
        </row>
        <row r="330">
          <cell r="A330" t="str">
            <v xml:space="preserve">P330457 </v>
          </cell>
          <cell r="B330" t="str">
            <v>P330457 - Parish of Pettistree</v>
          </cell>
          <cell r="C330">
            <v>5200</v>
          </cell>
        </row>
        <row r="331">
          <cell r="A331" t="str">
            <v xml:space="preserve">P330458 </v>
          </cell>
          <cell r="B331" t="str">
            <v>P330458 - Parish of Saxtead</v>
          </cell>
          <cell r="C331">
            <v>2323</v>
          </cell>
        </row>
        <row r="332">
          <cell r="A332" t="str">
            <v xml:space="preserve">P330459 </v>
          </cell>
          <cell r="B332" t="str">
            <v>P330459 - Parish of Wickham Market</v>
          </cell>
          <cell r="C332">
            <v>17500</v>
          </cell>
        </row>
        <row r="333">
          <cell r="A333" t="str">
            <v xml:space="preserve">P330460 </v>
          </cell>
          <cell r="B333" t="str">
            <v>P330460 - Parish of Winston</v>
          </cell>
          <cell r="C333">
            <v>1600</v>
          </cell>
        </row>
        <row r="334">
          <cell r="A334" t="str">
            <v xml:space="preserve">P330461 </v>
          </cell>
          <cell r="B334" t="str">
            <v>P330461 - Parish of Aldeburgh</v>
          </cell>
          <cell r="C334">
            <v>17500</v>
          </cell>
        </row>
        <row r="335">
          <cell r="A335" t="str">
            <v xml:space="preserve">P330462 </v>
          </cell>
          <cell r="B335" t="str">
            <v>P330462 - Parish of Aldringham with Thorpe</v>
          </cell>
          <cell r="C335">
            <v>10000</v>
          </cell>
        </row>
        <row r="336">
          <cell r="A336" t="str">
            <v xml:space="preserve">P330463 </v>
          </cell>
          <cell r="B336" t="str">
            <v>P330463 - Parish of Benhall</v>
          </cell>
          <cell r="C336">
            <v>5438</v>
          </cell>
        </row>
        <row r="337">
          <cell r="A337" t="str">
            <v xml:space="preserve">P330464 </v>
          </cell>
          <cell r="B337" t="str">
            <v>P330464 - Parish of Blaxhall</v>
          </cell>
          <cell r="C337">
            <v>8373</v>
          </cell>
        </row>
        <row r="338">
          <cell r="A338" t="str">
            <v xml:space="preserve">P330465 </v>
          </cell>
          <cell r="B338" t="str">
            <v>P330465 - Parish of Darsham</v>
          </cell>
          <cell r="C338">
            <v>1189</v>
          </cell>
        </row>
        <row r="339">
          <cell r="A339" t="str">
            <v xml:space="preserve">P330466 </v>
          </cell>
          <cell r="B339" t="str">
            <v>P330466 - Parish of Dunwich</v>
          </cell>
          <cell r="C339">
            <v>8000</v>
          </cell>
        </row>
        <row r="340">
          <cell r="A340" t="str">
            <v xml:space="preserve">P330467 </v>
          </cell>
          <cell r="B340" t="str">
            <v>P330467 - Parish of Farnham &amp; Stratford St Andrew</v>
          </cell>
          <cell r="C340">
            <v>2494</v>
          </cell>
        </row>
        <row r="341">
          <cell r="A341" t="str">
            <v xml:space="preserve">P330468 </v>
          </cell>
          <cell r="B341" t="str">
            <v>P330468 - Parish of Friston</v>
          </cell>
          <cell r="C341">
            <v>3000</v>
          </cell>
        </row>
        <row r="342">
          <cell r="A342" t="str">
            <v xml:space="preserve">P330469 </v>
          </cell>
          <cell r="B342" t="str">
            <v>P330469 - Parish of Great Glemham</v>
          </cell>
          <cell r="C342">
            <v>3000</v>
          </cell>
        </row>
        <row r="343">
          <cell r="A343" t="str">
            <v xml:space="preserve">P330470 </v>
          </cell>
          <cell r="B343" t="str">
            <v>P330470 - Parish of Kelsale cum Carlton</v>
          </cell>
          <cell r="C343">
            <v>5000</v>
          </cell>
        </row>
        <row r="344">
          <cell r="A344" t="str">
            <v xml:space="preserve">P330472 </v>
          </cell>
          <cell r="B344" t="str">
            <v>P330472 - Parish of Knodishall</v>
          </cell>
          <cell r="C344">
            <v>9075</v>
          </cell>
        </row>
        <row r="345">
          <cell r="A345" t="str">
            <v xml:space="preserve">P330473 </v>
          </cell>
          <cell r="B345" t="str">
            <v>P330473 - Parish of Leiston</v>
          </cell>
          <cell r="C345">
            <v>10000</v>
          </cell>
        </row>
        <row r="346">
          <cell r="A346" t="str">
            <v xml:space="preserve">P330474 </v>
          </cell>
          <cell r="B346" t="str">
            <v>P330474 - Parish of Little Glemham</v>
          </cell>
          <cell r="C346">
            <v>1500</v>
          </cell>
        </row>
        <row r="347">
          <cell r="A347" t="str">
            <v xml:space="preserve">P330475 </v>
          </cell>
          <cell r="B347" t="str">
            <v>P330475 - Parish of Middleton cum Fordley</v>
          </cell>
          <cell r="C347">
            <v>2134</v>
          </cell>
        </row>
        <row r="348">
          <cell r="A348" t="str">
            <v xml:space="preserve">P330476 </v>
          </cell>
          <cell r="B348" t="str">
            <v>P330476 - Parish of Peasenhall</v>
          </cell>
          <cell r="C348">
            <v>2500</v>
          </cell>
        </row>
        <row r="349">
          <cell r="A349" t="str">
            <v xml:space="preserve">P330477 </v>
          </cell>
          <cell r="B349" t="str">
            <v>P330477 - Parish of Rendham</v>
          </cell>
          <cell r="C349">
            <v>849</v>
          </cell>
        </row>
        <row r="350">
          <cell r="A350" t="str">
            <v xml:space="preserve">P330478 </v>
          </cell>
          <cell r="B350" t="str">
            <v>P330478 - Parish of Saxmundham</v>
          </cell>
          <cell r="C350">
            <v>14812</v>
          </cell>
        </row>
        <row r="351">
          <cell r="A351" t="str">
            <v xml:space="preserve">P330480 </v>
          </cell>
          <cell r="B351" t="str">
            <v>P330480 - Parish of Snape</v>
          </cell>
          <cell r="C351">
            <v>6000</v>
          </cell>
        </row>
        <row r="352">
          <cell r="A352" t="str">
            <v xml:space="preserve">P330483 </v>
          </cell>
          <cell r="B352" t="str">
            <v>P330483 - Parish of Sweffling</v>
          </cell>
          <cell r="C352">
            <v>2229</v>
          </cell>
        </row>
        <row r="353">
          <cell r="A353" t="str">
            <v xml:space="preserve">P330484 </v>
          </cell>
          <cell r="B353" t="str">
            <v>P330484 - Parish of Theberton with Eastbridge</v>
          </cell>
          <cell r="C353">
            <v>8581</v>
          </cell>
        </row>
        <row r="354">
          <cell r="A354" t="str">
            <v xml:space="preserve">P330485 </v>
          </cell>
          <cell r="B354" t="str">
            <v>P330485 - Parish of Westleton</v>
          </cell>
          <cell r="C354">
            <v>4500</v>
          </cell>
        </row>
        <row r="355">
          <cell r="A355" t="str">
            <v xml:space="preserve">P330486 </v>
          </cell>
          <cell r="B355" t="str">
            <v>P330486 - Parish of Yoxford</v>
          </cell>
          <cell r="C355">
            <v>5000</v>
          </cell>
        </row>
        <row r="356">
          <cell r="A356" t="str">
            <v xml:space="preserve">P330491 </v>
          </cell>
          <cell r="B356" t="str">
            <v>P330491 - Parish of Melton</v>
          </cell>
          <cell r="C356">
            <v>15753</v>
          </cell>
        </row>
        <row r="357">
          <cell r="A357" t="str">
            <v xml:space="preserve">P330494 </v>
          </cell>
          <cell r="B357" t="str">
            <v>P330494 - Parish of Bury St Edmunds Christ Church</v>
          </cell>
          <cell r="C357">
            <v>9400</v>
          </cell>
        </row>
        <row r="358">
          <cell r="A358" t="str">
            <v xml:space="preserve">P330500 </v>
          </cell>
          <cell r="B358" t="str">
            <v>P330500 - Parish of Felixstowe Christchurch</v>
          </cell>
          <cell r="C358">
            <v>17612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Historic Monthly Totals"/>
      <sheetName val="Data"/>
      <sheetName val="Overview"/>
      <sheetName val="Clare"/>
      <sheetName val="Gipping Valley"/>
      <sheetName val="Hadleigh"/>
      <sheetName val="Ixworth"/>
      <sheetName val="Lavenham"/>
      <sheetName val="Mildenhall"/>
      <sheetName val="Sudbury"/>
      <sheetName val="Thingoe"/>
      <sheetName val="Colneys"/>
      <sheetName val="Hartismere &amp; 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/>
      <sheetData sheetId="1">
        <row r="53">
          <cell r="C53">
            <v>3485628</v>
          </cell>
          <cell r="E53">
            <v>3378342</v>
          </cell>
          <cell r="F53">
            <v>3908209</v>
          </cell>
        </row>
      </sheetData>
      <sheetData sheetId="2"/>
      <sheetData sheetId="3"/>
      <sheetData sheetId="4"/>
      <sheetData sheetId="5"/>
      <sheetData sheetId="6">
        <row r="8">
          <cell r="D8">
            <v>10000</v>
          </cell>
        </row>
        <row r="9">
          <cell r="D9">
            <v>2250</v>
          </cell>
        </row>
        <row r="13">
          <cell r="D13">
            <v>2220</v>
          </cell>
        </row>
        <row r="14">
          <cell r="D14">
            <v>4969</v>
          </cell>
        </row>
        <row r="15">
          <cell r="D15">
            <v>5553</v>
          </cell>
        </row>
        <row r="16">
          <cell r="D16">
            <v>3000</v>
          </cell>
        </row>
        <row r="17">
          <cell r="D17">
            <v>11250</v>
          </cell>
        </row>
        <row r="18">
          <cell r="D18">
            <v>0</v>
          </cell>
        </row>
        <row r="19">
          <cell r="D19">
            <v>2485</v>
          </cell>
        </row>
        <row r="20">
          <cell r="D20">
            <v>0</v>
          </cell>
        </row>
        <row r="24">
          <cell r="D24">
            <v>1200</v>
          </cell>
        </row>
        <row r="25">
          <cell r="D25">
            <v>0</v>
          </cell>
        </row>
        <row r="26">
          <cell r="D26">
            <v>2000</v>
          </cell>
        </row>
        <row r="27">
          <cell r="D27">
            <v>1000</v>
          </cell>
        </row>
        <row r="28">
          <cell r="D28">
            <v>4536</v>
          </cell>
        </row>
        <row r="29">
          <cell r="D29">
            <v>1300</v>
          </cell>
        </row>
        <row r="30">
          <cell r="D30">
            <v>3200</v>
          </cell>
        </row>
        <row r="34">
          <cell r="D34">
            <v>3695</v>
          </cell>
        </row>
        <row r="35">
          <cell r="D35">
            <v>10144</v>
          </cell>
        </row>
        <row r="36">
          <cell r="D36">
            <v>4395</v>
          </cell>
        </row>
        <row r="37">
          <cell r="D37">
            <v>4000</v>
          </cell>
        </row>
        <row r="38">
          <cell r="D38">
            <v>4952</v>
          </cell>
        </row>
        <row r="39">
          <cell r="D39">
            <v>3000</v>
          </cell>
        </row>
        <row r="41">
          <cell r="D41">
            <v>9482</v>
          </cell>
        </row>
        <row r="42">
          <cell r="D42">
            <v>12500</v>
          </cell>
        </row>
        <row r="43">
          <cell r="D43">
            <v>3900</v>
          </cell>
        </row>
        <row r="44">
          <cell r="D44">
            <v>6465</v>
          </cell>
        </row>
        <row r="45">
          <cell r="D45">
            <v>1533</v>
          </cell>
        </row>
      </sheetData>
      <sheetData sheetId="7">
        <row r="8">
          <cell r="D8">
            <v>2400</v>
          </cell>
        </row>
        <row r="9">
          <cell r="D9">
            <v>6000</v>
          </cell>
        </row>
        <row r="10">
          <cell r="D10">
            <v>0</v>
          </cell>
        </row>
        <row r="11">
          <cell r="D11">
            <v>4000</v>
          </cell>
        </row>
        <row r="16">
          <cell r="D16">
            <v>17000</v>
          </cell>
        </row>
        <row r="17">
          <cell r="D17">
            <v>3468</v>
          </cell>
        </row>
        <row r="18">
          <cell r="D18">
            <v>9000</v>
          </cell>
        </row>
        <row r="21">
          <cell r="D21">
            <v>8360</v>
          </cell>
        </row>
        <row r="22">
          <cell r="D22">
            <v>8947</v>
          </cell>
        </row>
        <row r="23">
          <cell r="D23">
            <v>2000</v>
          </cell>
        </row>
        <row r="24">
          <cell r="D24">
            <v>2666</v>
          </cell>
        </row>
        <row r="25">
          <cell r="D25">
            <v>14936</v>
          </cell>
        </row>
        <row r="26">
          <cell r="D26">
            <v>3000</v>
          </cell>
        </row>
        <row r="27">
          <cell r="D27">
            <v>2000</v>
          </cell>
        </row>
        <row r="28">
          <cell r="D28">
            <v>6270</v>
          </cell>
        </row>
        <row r="31">
          <cell r="D31">
            <v>32000</v>
          </cell>
        </row>
        <row r="33">
          <cell r="D33">
            <v>3100</v>
          </cell>
        </row>
        <row r="34">
          <cell r="D34">
            <v>0</v>
          </cell>
        </row>
        <row r="35">
          <cell r="D35">
            <v>1600</v>
          </cell>
        </row>
        <row r="36">
          <cell r="D36">
            <v>1530</v>
          </cell>
        </row>
        <row r="37">
          <cell r="D37">
            <v>3250</v>
          </cell>
        </row>
        <row r="38">
          <cell r="D38">
            <v>800</v>
          </cell>
        </row>
        <row r="39">
          <cell r="D39">
            <v>2000</v>
          </cell>
        </row>
        <row r="40">
          <cell r="D40">
            <v>0</v>
          </cell>
        </row>
        <row r="41">
          <cell r="D41">
            <v>0</v>
          </cell>
        </row>
        <row r="44">
          <cell r="D44">
            <v>14000</v>
          </cell>
        </row>
        <row r="45">
          <cell r="D45">
            <v>6000</v>
          </cell>
        </row>
        <row r="46">
          <cell r="D46">
            <v>2709</v>
          </cell>
        </row>
        <row r="47">
          <cell r="D47">
            <v>10389</v>
          </cell>
        </row>
        <row r="48">
          <cell r="D48">
            <v>5992</v>
          </cell>
        </row>
        <row r="49">
          <cell r="D49">
            <v>3600</v>
          </cell>
        </row>
        <row r="52">
          <cell r="D52">
            <v>15541</v>
          </cell>
        </row>
        <row r="53">
          <cell r="D53">
            <v>4723</v>
          </cell>
        </row>
        <row r="54">
          <cell r="D54">
            <v>7008</v>
          </cell>
        </row>
        <row r="55">
          <cell r="D55">
            <v>9408</v>
          </cell>
        </row>
        <row r="56">
          <cell r="D56">
            <v>2968</v>
          </cell>
        </row>
        <row r="57">
          <cell r="D57">
            <v>5325</v>
          </cell>
        </row>
        <row r="58">
          <cell r="D58">
            <v>3560</v>
          </cell>
        </row>
        <row r="61">
          <cell r="D61">
            <v>13554</v>
          </cell>
        </row>
        <row r="62">
          <cell r="D62">
            <v>6000</v>
          </cell>
        </row>
        <row r="63">
          <cell r="D63">
            <v>7000</v>
          </cell>
        </row>
        <row r="66">
          <cell r="D66">
            <v>16000</v>
          </cell>
        </row>
        <row r="70">
          <cell r="D70">
            <v>49354</v>
          </cell>
        </row>
      </sheetData>
      <sheetData sheetId="8">
        <row r="8">
          <cell r="D8">
            <v>10623</v>
          </cell>
        </row>
        <row r="9">
          <cell r="D9">
            <v>600</v>
          </cell>
        </row>
        <row r="10">
          <cell r="D10">
            <v>5888</v>
          </cell>
        </row>
        <row r="11">
          <cell r="D11">
            <v>3248</v>
          </cell>
        </row>
        <row r="12">
          <cell r="D12">
            <v>4416</v>
          </cell>
        </row>
        <row r="13">
          <cell r="D13">
            <v>6902</v>
          </cell>
        </row>
        <row r="16">
          <cell r="D16">
            <v>5800</v>
          </cell>
        </row>
        <row r="17">
          <cell r="D17">
            <v>7000</v>
          </cell>
        </row>
        <row r="18">
          <cell r="D18">
            <v>16350</v>
          </cell>
        </row>
        <row r="19">
          <cell r="D19">
            <v>6780</v>
          </cell>
        </row>
        <row r="22">
          <cell r="D22">
            <v>29974</v>
          </cell>
        </row>
        <row r="23">
          <cell r="D23">
            <v>8000</v>
          </cell>
        </row>
        <row r="24">
          <cell r="D24">
            <v>7200</v>
          </cell>
        </row>
        <row r="27">
          <cell r="D27">
            <v>11731</v>
          </cell>
        </row>
        <row r="28">
          <cell r="D28">
            <v>3750</v>
          </cell>
        </row>
        <row r="29">
          <cell r="D29">
            <v>4890</v>
          </cell>
        </row>
        <row r="30">
          <cell r="D30">
            <v>4888</v>
          </cell>
        </row>
        <row r="33">
          <cell r="D33">
            <v>8000</v>
          </cell>
        </row>
        <row r="34">
          <cell r="D34">
            <v>5000</v>
          </cell>
        </row>
        <row r="35">
          <cell r="D35">
            <v>8200</v>
          </cell>
        </row>
        <row r="36">
          <cell r="D36">
            <v>13505</v>
          </cell>
        </row>
        <row r="37">
          <cell r="D37">
            <v>5800</v>
          </cell>
        </row>
      </sheetData>
      <sheetData sheetId="9">
        <row r="8">
          <cell r="D8">
            <v>2253</v>
          </cell>
        </row>
        <row r="9">
          <cell r="D9">
            <v>4305</v>
          </cell>
        </row>
        <row r="10">
          <cell r="D10">
            <v>500</v>
          </cell>
        </row>
        <row r="11">
          <cell r="D11">
            <v>14318</v>
          </cell>
        </row>
        <row r="12">
          <cell r="D12">
            <v>2000</v>
          </cell>
        </row>
        <row r="13">
          <cell r="D13">
            <v>4000</v>
          </cell>
        </row>
        <row r="14">
          <cell r="D14">
            <v>0</v>
          </cell>
        </row>
        <row r="17">
          <cell r="D17">
            <v>1450</v>
          </cell>
        </row>
        <row r="18">
          <cell r="D18">
            <v>6000</v>
          </cell>
        </row>
        <row r="19">
          <cell r="D19">
            <v>3500</v>
          </cell>
        </row>
        <row r="20">
          <cell r="D20">
            <v>0</v>
          </cell>
        </row>
        <row r="21">
          <cell r="D21">
            <v>4500</v>
          </cell>
        </row>
        <row r="22">
          <cell r="D22">
            <v>11000</v>
          </cell>
        </row>
        <row r="23">
          <cell r="D23">
            <v>4000</v>
          </cell>
        </row>
        <row r="24">
          <cell r="D24">
            <v>2000</v>
          </cell>
        </row>
        <row r="27">
          <cell r="D27">
            <v>4444</v>
          </cell>
        </row>
        <row r="28">
          <cell r="D28">
            <v>2800</v>
          </cell>
        </row>
        <row r="29">
          <cell r="D29">
            <v>7000</v>
          </cell>
        </row>
        <row r="30">
          <cell r="D30">
            <v>10500</v>
          </cell>
        </row>
        <row r="31">
          <cell r="D31">
            <v>100</v>
          </cell>
        </row>
        <row r="32">
          <cell r="D32">
            <v>4000</v>
          </cell>
        </row>
        <row r="35">
          <cell r="D35">
            <v>4768</v>
          </cell>
        </row>
        <row r="36">
          <cell r="D36">
            <v>0</v>
          </cell>
        </row>
        <row r="37">
          <cell r="D37">
            <v>1500</v>
          </cell>
        </row>
        <row r="38">
          <cell r="D38">
            <v>4000</v>
          </cell>
        </row>
        <row r="39">
          <cell r="D39">
            <v>6495</v>
          </cell>
        </row>
        <row r="40">
          <cell r="D40">
            <v>2000</v>
          </cell>
        </row>
        <row r="41">
          <cell r="D41">
            <v>4000</v>
          </cell>
        </row>
        <row r="42">
          <cell r="D42">
            <v>1000</v>
          </cell>
        </row>
      </sheetData>
      <sheetData sheetId="10">
        <row r="8">
          <cell r="D8">
            <v>4413</v>
          </cell>
        </row>
        <row r="9">
          <cell r="D9">
            <v>7908</v>
          </cell>
        </row>
        <row r="10">
          <cell r="D10">
            <v>19031</v>
          </cell>
        </row>
        <row r="11">
          <cell r="D11">
            <v>5880</v>
          </cell>
        </row>
        <row r="12">
          <cell r="D12">
            <v>2744</v>
          </cell>
        </row>
        <row r="15">
          <cell r="D15">
            <v>36000</v>
          </cell>
        </row>
        <row r="17">
          <cell r="D17">
            <v>43240</v>
          </cell>
        </row>
        <row r="18">
          <cell r="D18">
            <v>0</v>
          </cell>
        </row>
        <row r="21">
          <cell r="D21">
            <v>4928</v>
          </cell>
        </row>
        <row r="22">
          <cell r="D22">
            <v>3080</v>
          </cell>
        </row>
        <row r="23">
          <cell r="D23">
            <v>2464</v>
          </cell>
        </row>
        <row r="24">
          <cell r="D24">
            <v>3205</v>
          </cell>
        </row>
        <row r="25">
          <cell r="D25">
            <v>9119</v>
          </cell>
        </row>
        <row r="28">
          <cell r="D28">
            <v>5000</v>
          </cell>
        </row>
        <row r="29">
          <cell r="D29">
            <v>20240</v>
          </cell>
        </row>
        <row r="30">
          <cell r="D30">
            <v>18723</v>
          </cell>
        </row>
        <row r="31">
          <cell r="D31">
            <v>12144</v>
          </cell>
        </row>
        <row r="34">
          <cell r="D34">
            <v>12000</v>
          </cell>
        </row>
        <row r="35">
          <cell r="D35">
            <v>7004</v>
          </cell>
        </row>
        <row r="38">
          <cell r="D38">
            <v>0</v>
          </cell>
        </row>
        <row r="39">
          <cell r="D39">
            <v>2500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6">
          <cell r="D46">
            <v>16120</v>
          </cell>
        </row>
        <row r="47">
          <cell r="D47">
            <v>30000</v>
          </cell>
        </row>
      </sheetData>
      <sheetData sheetId="11">
        <row r="8">
          <cell r="D8">
            <v>18000</v>
          </cell>
        </row>
        <row r="12">
          <cell r="D12">
            <v>1400</v>
          </cell>
        </row>
        <row r="13">
          <cell r="D13">
            <v>8000</v>
          </cell>
        </row>
        <row r="14">
          <cell r="D14">
            <v>2900</v>
          </cell>
        </row>
        <row r="22">
          <cell r="D22">
            <v>7500</v>
          </cell>
        </row>
        <row r="23">
          <cell r="D23">
            <v>3500</v>
          </cell>
        </row>
        <row r="24">
          <cell r="D24">
            <v>5112</v>
          </cell>
        </row>
        <row r="25">
          <cell r="D25">
            <v>3500</v>
          </cell>
        </row>
        <row r="26">
          <cell r="D26">
            <v>4671</v>
          </cell>
        </row>
        <row r="27">
          <cell r="D27">
            <v>6000</v>
          </cell>
        </row>
        <row r="28">
          <cell r="D28">
            <v>4325</v>
          </cell>
        </row>
        <row r="29">
          <cell r="D29">
            <v>2750</v>
          </cell>
        </row>
        <row r="30">
          <cell r="D30">
            <v>4847</v>
          </cell>
        </row>
        <row r="31">
          <cell r="D31">
            <v>2000</v>
          </cell>
        </row>
        <row r="32">
          <cell r="D32">
            <v>15000</v>
          </cell>
        </row>
        <row r="33">
          <cell r="D33">
            <v>6720</v>
          </cell>
        </row>
        <row r="34">
          <cell r="D34">
            <v>2000</v>
          </cell>
        </row>
        <row r="35">
          <cell r="D35">
            <v>4280</v>
          </cell>
        </row>
        <row r="36">
          <cell r="D36">
            <v>4000</v>
          </cell>
        </row>
        <row r="37">
          <cell r="D37">
            <v>6000</v>
          </cell>
        </row>
        <row r="41">
          <cell r="D41">
            <v>40000</v>
          </cell>
        </row>
        <row r="43">
          <cell r="D43">
            <v>3750</v>
          </cell>
        </row>
        <row r="44">
          <cell r="D44">
            <v>10000</v>
          </cell>
        </row>
        <row r="45">
          <cell r="D45">
            <v>10000</v>
          </cell>
        </row>
      </sheetData>
      <sheetData sheetId="12">
        <row r="8">
          <cell r="D8">
            <v>5500</v>
          </cell>
        </row>
        <row r="9">
          <cell r="D9">
            <v>6682</v>
          </cell>
        </row>
        <row r="13">
          <cell r="D13">
            <v>4500</v>
          </cell>
        </row>
        <row r="14">
          <cell r="D14">
            <v>3500</v>
          </cell>
        </row>
        <row r="15">
          <cell r="D15">
            <v>1500</v>
          </cell>
        </row>
        <row r="16">
          <cell r="D16">
            <v>2250</v>
          </cell>
        </row>
        <row r="17">
          <cell r="D17">
            <v>6672</v>
          </cell>
        </row>
        <row r="21">
          <cell r="D21">
            <v>6960</v>
          </cell>
        </row>
        <row r="22">
          <cell r="D22">
            <v>27000</v>
          </cell>
        </row>
        <row r="23">
          <cell r="D23">
            <v>7392</v>
          </cell>
        </row>
        <row r="26">
          <cell r="D26">
            <v>12000</v>
          </cell>
        </row>
        <row r="27">
          <cell r="D27">
            <v>6000</v>
          </cell>
        </row>
        <row r="28">
          <cell r="D28">
            <v>1000</v>
          </cell>
        </row>
        <row r="29">
          <cell r="D29">
            <v>0</v>
          </cell>
        </row>
        <row r="33">
          <cell r="D33">
            <v>8000</v>
          </cell>
        </row>
        <row r="37">
          <cell r="D37">
            <v>10000</v>
          </cell>
        </row>
        <row r="41">
          <cell r="D41">
            <v>31328</v>
          </cell>
        </row>
        <row r="43">
          <cell r="D43">
            <v>6440</v>
          </cell>
        </row>
        <row r="44">
          <cell r="D44">
            <v>39576</v>
          </cell>
        </row>
      </sheetData>
      <sheetData sheetId="13">
        <row r="8">
          <cell r="D8">
            <v>30000</v>
          </cell>
        </row>
        <row r="10">
          <cell r="D10">
            <v>124800</v>
          </cell>
        </row>
        <row r="12">
          <cell r="D12">
            <v>24833</v>
          </cell>
        </row>
        <row r="13">
          <cell r="D13">
            <v>19544</v>
          </cell>
        </row>
        <row r="16">
          <cell r="D16">
            <v>7500</v>
          </cell>
        </row>
        <row r="17">
          <cell r="D17">
            <v>17500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4200</v>
          </cell>
        </row>
        <row r="21">
          <cell r="D21">
            <v>6600</v>
          </cell>
        </row>
        <row r="24">
          <cell r="D24">
            <v>6000</v>
          </cell>
        </row>
        <row r="25">
          <cell r="D25">
            <v>1000</v>
          </cell>
        </row>
        <row r="26">
          <cell r="D26">
            <v>3000</v>
          </cell>
        </row>
        <row r="27">
          <cell r="D27">
            <v>1150</v>
          </cell>
        </row>
        <row r="28">
          <cell r="D28">
            <v>9600</v>
          </cell>
        </row>
        <row r="31">
          <cell r="D31">
            <v>26664</v>
          </cell>
        </row>
        <row r="32">
          <cell r="D32">
            <v>6401</v>
          </cell>
        </row>
        <row r="33">
          <cell r="D33">
            <v>31224</v>
          </cell>
        </row>
        <row r="41">
          <cell r="D41">
            <v>24395</v>
          </cell>
        </row>
      </sheetData>
      <sheetData sheetId="14">
        <row r="8">
          <cell r="D8">
            <v>44600</v>
          </cell>
        </row>
        <row r="10">
          <cell r="D10">
            <v>49184</v>
          </cell>
        </row>
        <row r="12">
          <cell r="D12">
            <v>14625</v>
          </cell>
        </row>
        <row r="13">
          <cell r="D13">
            <v>0</v>
          </cell>
        </row>
        <row r="14">
          <cell r="D14">
            <v>0</v>
          </cell>
        </row>
        <row r="17">
          <cell r="D17">
            <v>4350</v>
          </cell>
        </row>
        <row r="18">
          <cell r="D18">
            <v>41700</v>
          </cell>
        </row>
        <row r="21">
          <cell r="D21">
            <v>37896</v>
          </cell>
        </row>
        <row r="23">
          <cell r="D23">
            <v>16128</v>
          </cell>
        </row>
        <row r="24">
          <cell r="D24">
            <v>29952</v>
          </cell>
        </row>
        <row r="27">
          <cell r="D27">
            <v>7001</v>
          </cell>
        </row>
        <row r="28">
          <cell r="D28">
            <v>4500</v>
          </cell>
        </row>
        <row r="29">
          <cell r="D29">
            <v>1600</v>
          </cell>
        </row>
        <row r="30">
          <cell r="D30">
            <v>14000</v>
          </cell>
        </row>
        <row r="31">
          <cell r="D31">
            <v>7451</v>
          </cell>
        </row>
        <row r="32">
          <cell r="D32">
            <v>9208</v>
          </cell>
        </row>
        <row r="33">
          <cell r="D33">
            <v>1550</v>
          </cell>
        </row>
        <row r="34">
          <cell r="D34">
            <v>5552</v>
          </cell>
        </row>
      </sheetData>
      <sheetData sheetId="15">
        <row r="8">
          <cell r="D8">
            <v>4600</v>
          </cell>
        </row>
        <row r="9">
          <cell r="D9">
            <v>22248</v>
          </cell>
        </row>
        <row r="10">
          <cell r="D10">
            <v>5250</v>
          </cell>
        </row>
        <row r="13">
          <cell r="D13">
            <v>5000</v>
          </cell>
        </row>
        <row r="14">
          <cell r="D14">
            <v>0</v>
          </cell>
        </row>
        <row r="15">
          <cell r="D15">
            <v>5000</v>
          </cell>
        </row>
        <row r="16">
          <cell r="D16">
            <v>1000</v>
          </cell>
        </row>
        <row r="17">
          <cell r="D17">
            <v>1250</v>
          </cell>
        </row>
        <row r="18">
          <cell r="D18">
            <v>7138</v>
          </cell>
        </row>
        <row r="21">
          <cell r="D21">
            <v>9751</v>
          </cell>
        </row>
        <row r="23">
          <cell r="D23">
            <v>5600</v>
          </cell>
        </row>
        <row r="24">
          <cell r="D24">
            <v>4500</v>
          </cell>
        </row>
        <row r="25">
          <cell r="D25">
            <v>0</v>
          </cell>
        </row>
        <row r="26">
          <cell r="D26">
            <v>6400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4000</v>
          </cell>
        </row>
        <row r="30">
          <cell r="D30">
            <v>800</v>
          </cell>
        </row>
        <row r="33">
          <cell r="D33">
            <v>250</v>
          </cell>
        </row>
        <row r="34">
          <cell r="D34">
            <v>1400</v>
          </cell>
        </row>
        <row r="35">
          <cell r="D35">
            <v>750</v>
          </cell>
        </row>
        <row r="36">
          <cell r="D36">
            <v>1250</v>
          </cell>
        </row>
        <row r="37">
          <cell r="D37">
            <v>1055</v>
          </cell>
        </row>
        <row r="38">
          <cell r="D38">
            <v>2581</v>
          </cell>
        </row>
        <row r="39">
          <cell r="D39">
            <v>1412</v>
          </cell>
        </row>
        <row r="43">
          <cell r="D43">
            <v>5500</v>
          </cell>
        </row>
        <row r="44">
          <cell r="D44">
            <v>2500</v>
          </cell>
        </row>
        <row r="45">
          <cell r="D45">
            <v>4837</v>
          </cell>
        </row>
        <row r="46">
          <cell r="D46">
            <v>6000</v>
          </cell>
        </row>
        <row r="47">
          <cell r="D47">
            <v>2700</v>
          </cell>
        </row>
        <row r="48">
          <cell r="D48">
            <v>0</v>
          </cell>
        </row>
        <row r="49">
          <cell r="D49">
            <v>3803</v>
          </cell>
        </row>
        <row r="50">
          <cell r="D50">
            <v>1500</v>
          </cell>
        </row>
        <row r="53">
          <cell r="D53">
            <v>10000</v>
          </cell>
        </row>
        <row r="54">
          <cell r="D54">
            <v>6020</v>
          </cell>
        </row>
        <row r="55">
          <cell r="D55">
            <v>4000</v>
          </cell>
        </row>
        <row r="56">
          <cell r="D56">
            <v>4000</v>
          </cell>
        </row>
        <row r="57">
          <cell r="D57">
            <v>2760</v>
          </cell>
        </row>
        <row r="58">
          <cell r="D58">
            <v>3444</v>
          </cell>
        </row>
      </sheetData>
      <sheetData sheetId="16">
        <row r="8">
          <cell r="D8">
            <v>5000</v>
          </cell>
        </row>
        <row r="10">
          <cell r="D10">
            <v>50537</v>
          </cell>
        </row>
        <row r="12">
          <cell r="D12">
            <v>46500</v>
          </cell>
        </row>
        <row r="14">
          <cell r="D14">
            <v>10500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21">
          <cell r="D21">
            <v>57539</v>
          </cell>
        </row>
        <row r="23">
          <cell r="D23">
            <v>19415</v>
          </cell>
        </row>
        <row r="25">
          <cell r="D25">
            <v>9000</v>
          </cell>
        </row>
        <row r="27">
          <cell r="D27">
            <v>12000</v>
          </cell>
        </row>
        <row r="28">
          <cell r="D28">
            <v>49000</v>
          </cell>
        </row>
        <row r="29">
          <cell r="D29">
            <v>3500</v>
          </cell>
        </row>
        <row r="33">
          <cell r="D33">
            <v>25333</v>
          </cell>
        </row>
        <row r="37">
          <cell r="D37">
            <v>45209</v>
          </cell>
        </row>
        <row r="39">
          <cell r="D39">
            <v>7200</v>
          </cell>
        </row>
        <row r="41">
          <cell r="D41">
            <v>19200</v>
          </cell>
        </row>
        <row r="43">
          <cell r="D43">
            <v>0</v>
          </cell>
        </row>
        <row r="47">
          <cell r="D47">
            <v>24615</v>
          </cell>
        </row>
        <row r="50">
          <cell r="D50">
            <v>22280</v>
          </cell>
        </row>
      </sheetData>
      <sheetData sheetId="17">
        <row r="8">
          <cell r="D8">
            <v>27000</v>
          </cell>
        </row>
        <row r="9">
          <cell r="D9">
            <v>4648</v>
          </cell>
        </row>
        <row r="12">
          <cell r="D12">
            <v>3500</v>
          </cell>
        </row>
        <row r="13">
          <cell r="D13">
            <v>0</v>
          </cell>
        </row>
        <row r="14">
          <cell r="D14">
            <v>5544</v>
          </cell>
        </row>
        <row r="15">
          <cell r="D15">
            <v>0</v>
          </cell>
        </row>
        <row r="16">
          <cell r="D16">
            <v>3000</v>
          </cell>
        </row>
        <row r="17">
          <cell r="D17">
            <v>6000</v>
          </cell>
        </row>
        <row r="18">
          <cell r="D18">
            <v>4000</v>
          </cell>
        </row>
        <row r="19">
          <cell r="D19">
            <v>0</v>
          </cell>
        </row>
        <row r="20">
          <cell r="D20">
            <v>0</v>
          </cell>
        </row>
        <row r="23">
          <cell r="D23">
            <v>0</v>
          </cell>
        </row>
        <row r="24">
          <cell r="D24">
            <v>23200</v>
          </cell>
        </row>
        <row r="25">
          <cell r="D25">
            <v>500</v>
          </cell>
        </row>
        <row r="26">
          <cell r="D26">
            <v>3856</v>
          </cell>
        </row>
        <row r="27">
          <cell r="D27">
            <v>4000</v>
          </cell>
        </row>
        <row r="28">
          <cell r="D28">
            <v>3100</v>
          </cell>
        </row>
        <row r="29">
          <cell r="D29">
            <v>1200</v>
          </cell>
        </row>
        <row r="32">
          <cell r="D32">
            <v>1800</v>
          </cell>
        </row>
        <row r="33">
          <cell r="D33">
            <v>2500</v>
          </cell>
        </row>
        <row r="34">
          <cell r="D34">
            <v>5623</v>
          </cell>
        </row>
        <row r="35">
          <cell r="D35">
            <v>2734</v>
          </cell>
        </row>
        <row r="36">
          <cell r="D36">
            <v>8080</v>
          </cell>
        </row>
        <row r="37">
          <cell r="D37">
            <v>3500</v>
          </cell>
        </row>
        <row r="38">
          <cell r="D38">
            <v>2000</v>
          </cell>
        </row>
        <row r="39">
          <cell r="D39">
            <v>4686</v>
          </cell>
        </row>
        <row r="43">
          <cell r="D43">
            <v>2376</v>
          </cell>
        </row>
        <row r="44">
          <cell r="D44">
            <v>2100</v>
          </cell>
        </row>
        <row r="45">
          <cell r="D45">
            <v>1940</v>
          </cell>
        </row>
        <row r="46">
          <cell r="D46">
            <v>5000</v>
          </cell>
        </row>
        <row r="47">
          <cell r="D47">
            <v>1721</v>
          </cell>
        </row>
        <row r="48">
          <cell r="D48">
            <v>2261</v>
          </cell>
        </row>
        <row r="51">
          <cell r="D51">
            <v>9858</v>
          </cell>
        </row>
        <row r="52">
          <cell r="D52">
            <v>25028</v>
          </cell>
        </row>
      </sheetData>
      <sheetData sheetId="18">
        <row r="8">
          <cell r="D8">
            <v>12000</v>
          </cell>
        </row>
        <row r="9">
          <cell r="D9">
            <v>3000</v>
          </cell>
        </row>
        <row r="12">
          <cell r="D12">
            <v>10970</v>
          </cell>
        </row>
        <row r="13">
          <cell r="D13">
            <v>22000</v>
          </cell>
        </row>
        <row r="16">
          <cell r="D16">
            <v>0</v>
          </cell>
        </row>
        <row r="17">
          <cell r="D17">
            <v>6000</v>
          </cell>
        </row>
        <row r="18">
          <cell r="D18">
            <v>4000</v>
          </cell>
        </row>
        <row r="19">
          <cell r="D19">
            <v>6000</v>
          </cell>
        </row>
        <row r="20">
          <cell r="D20">
            <v>7000</v>
          </cell>
        </row>
        <row r="21">
          <cell r="D21">
            <v>3000</v>
          </cell>
        </row>
        <row r="24">
          <cell r="D24">
            <v>5600</v>
          </cell>
        </row>
        <row r="25">
          <cell r="D25">
            <v>500</v>
          </cell>
        </row>
        <row r="26">
          <cell r="D26">
            <v>8000</v>
          </cell>
        </row>
        <row r="27">
          <cell r="D27">
            <v>3800</v>
          </cell>
        </row>
        <row r="30">
          <cell r="D30">
            <v>7658</v>
          </cell>
        </row>
        <row r="31">
          <cell r="D31">
            <v>6000</v>
          </cell>
        </row>
        <row r="32">
          <cell r="D32">
            <v>20000</v>
          </cell>
        </row>
        <row r="33">
          <cell r="D33">
            <v>6117</v>
          </cell>
        </row>
        <row r="34">
          <cell r="D34">
            <v>0</v>
          </cell>
        </row>
      </sheetData>
      <sheetData sheetId="19">
        <row r="8">
          <cell r="D8">
            <v>8084</v>
          </cell>
        </row>
        <row r="9">
          <cell r="D9">
            <v>5000</v>
          </cell>
        </row>
        <row r="10">
          <cell r="D10">
            <v>3924</v>
          </cell>
        </row>
        <row r="11">
          <cell r="D11">
            <v>4000</v>
          </cell>
        </row>
        <row r="12">
          <cell r="D12">
            <v>2000</v>
          </cell>
        </row>
        <row r="13">
          <cell r="D13">
            <v>3488</v>
          </cell>
        </row>
        <row r="14">
          <cell r="D14">
            <v>0</v>
          </cell>
        </row>
        <row r="15">
          <cell r="D15">
            <v>3500</v>
          </cell>
        </row>
        <row r="18">
          <cell r="D18">
            <v>34472</v>
          </cell>
        </row>
        <row r="19">
          <cell r="D19">
            <v>5000</v>
          </cell>
        </row>
        <row r="20">
          <cell r="D20">
            <v>4500</v>
          </cell>
        </row>
        <row r="21">
          <cell r="D21">
            <v>8981</v>
          </cell>
        </row>
        <row r="24">
          <cell r="D24">
            <v>14000</v>
          </cell>
        </row>
        <row r="28">
          <cell r="D28">
            <v>15871</v>
          </cell>
        </row>
        <row r="29">
          <cell r="D29">
            <v>22872</v>
          </cell>
        </row>
        <row r="32">
          <cell r="D32">
            <v>2756</v>
          </cell>
        </row>
        <row r="33">
          <cell r="D33">
            <v>8000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3506</v>
          </cell>
        </row>
        <row r="37">
          <cell r="D37">
            <v>8259</v>
          </cell>
        </row>
        <row r="38">
          <cell r="D38">
            <v>0</v>
          </cell>
        </row>
      </sheetData>
      <sheetData sheetId="20">
        <row r="8">
          <cell r="D8">
            <v>0</v>
          </cell>
        </row>
        <row r="9">
          <cell r="D9">
            <v>2000</v>
          </cell>
        </row>
        <row r="10">
          <cell r="D10">
            <v>8364</v>
          </cell>
        </row>
        <row r="11">
          <cell r="D11">
            <v>1000</v>
          </cell>
        </row>
        <row r="12">
          <cell r="D12">
            <v>5250</v>
          </cell>
        </row>
        <row r="13">
          <cell r="D13">
            <v>0</v>
          </cell>
        </row>
        <row r="14">
          <cell r="D14">
            <v>3878</v>
          </cell>
        </row>
        <row r="15">
          <cell r="D15">
            <v>500</v>
          </cell>
        </row>
        <row r="16">
          <cell r="D16">
            <v>11500</v>
          </cell>
        </row>
        <row r="17">
          <cell r="D17">
            <v>6000</v>
          </cell>
        </row>
        <row r="18">
          <cell r="D18">
            <v>2848</v>
          </cell>
        </row>
        <row r="21">
          <cell r="D21">
            <v>7000</v>
          </cell>
        </row>
        <row r="22">
          <cell r="D22">
            <v>18000</v>
          </cell>
        </row>
        <row r="23">
          <cell r="D23">
            <v>1500</v>
          </cell>
        </row>
        <row r="24">
          <cell r="D24">
            <v>16543</v>
          </cell>
        </row>
        <row r="27">
          <cell r="D27">
            <v>3488</v>
          </cell>
        </row>
        <row r="28">
          <cell r="D28">
            <v>0</v>
          </cell>
        </row>
        <row r="29">
          <cell r="D29">
            <v>1602</v>
          </cell>
        </row>
        <row r="32">
          <cell r="D32">
            <v>0</v>
          </cell>
        </row>
        <row r="33">
          <cell r="D33">
            <v>3000</v>
          </cell>
        </row>
        <row r="34">
          <cell r="D34">
            <v>2000</v>
          </cell>
        </row>
        <row r="35">
          <cell r="D35">
            <v>0</v>
          </cell>
        </row>
        <row r="36">
          <cell r="D36">
            <v>3600</v>
          </cell>
        </row>
        <row r="37">
          <cell r="D37">
            <v>2400</v>
          </cell>
        </row>
        <row r="38">
          <cell r="D38">
            <v>0</v>
          </cell>
        </row>
        <row r="39">
          <cell r="D39">
            <v>3791</v>
          </cell>
        </row>
        <row r="40">
          <cell r="D40">
            <v>0</v>
          </cell>
        </row>
        <row r="41">
          <cell r="D41">
            <v>3000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500</v>
          </cell>
        </row>
        <row r="47">
          <cell r="D47">
            <v>0</v>
          </cell>
        </row>
        <row r="48">
          <cell r="D48">
            <v>1956</v>
          </cell>
        </row>
        <row r="49">
          <cell r="D49">
            <v>2870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1795</v>
          </cell>
        </row>
        <row r="53">
          <cell r="D53">
            <v>300</v>
          </cell>
        </row>
        <row r="54">
          <cell r="D54">
            <v>1000</v>
          </cell>
        </row>
        <row r="57">
          <cell r="D57">
            <v>13965</v>
          </cell>
        </row>
        <row r="58">
          <cell r="D58">
            <v>30035</v>
          </cell>
        </row>
        <row r="59">
          <cell r="D59">
            <v>697</v>
          </cell>
        </row>
        <row r="60">
          <cell r="D60">
            <v>2635</v>
          </cell>
        </row>
        <row r="61">
          <cell r="D61">
            <v>45000</v>
          </cell>
        </row>
        <row r="62">
          <cell r="D62">
            <v>5243</v>
          </cell>
        </row>
        <row r="63">
          <cell r="D63">
            <v>9000</v>
          </cell>
        </row>
        <row r="64">
          <cell r="D64">
            <v>4500</v>
          </cell>
        </row>
        <row r="67">
          <cell r="D67">
            <v>0</v>
          </cell>
        </row>
        <row r="68">
          <cell r="D68">
            <v>1120</v>
          </cell>
        </row>
        <row r="69">
          <cell r="D69">
            <v>800</v>
          </cell>
        </row>
        <row r="70">
          <cell r="D70">
            <v>2423</v>
          </cell>
        </row>
        <row r="73">
          <cell r="D73">
            <v>37500</v>
          </cell>
        </row>
        <row r="74">
          <cell r="D74">
            <v>1000</v>
          </cell>
        </row>
        <row r="75">
          <cell r="D75">
            <v>2000</v>
          </cell>
        </row>
      </sheetData>
      <sheetData sheetId="21">
        <row r="8">
          <cell r="D8">
            <v>28396</v>
          </cell>
        </row>
        <row r="9">
          <cell r="D9">
            <v>25000</v>
          </cell>
        </row>
        <row r="12">
          <cell r="D12">
            <v>1937</v>
          </cell>
        </row>
        <row r="13">
          <cell r="D13">
            <v>1659</v>
          </cell>
        </row>
        <row r="14">
          <cell r="D14">
            <v>4403</v>
          </cell>
        </row>
        <row r="15">
          <cell r="D15">
            <v>1880</v>
          </cell>
        </row>
        <row r="16">
          <cell r="D16">
            <v>3598</v>
          </cell>
        </row>
        <row r="17">
          <cell r="D17">
            <v>18612</v>
          </cell>
        </row>
        <row r="18">
          <cell r="D18">
            <v>11769</v>
          </cell>
        </row>
        <row r="19">
          <cell r="D19">
            <v>3576</v>
          </cell>
        </row>
        <row r="20">
          <cell r="D20">
            <v>1936</v>
          </cell>
        </row>
        <row r="23">
          <cell r="D23">
            <v>9489</v>
          </cell>
        </row>
        <row r="24">
          <cell r="D24">
            <v>2000</v>
          </cell>
        </row>
        <row r="25">
          <cell r="D25">
            <v>0</v>
          </cell>
        </row>
        <row r="26">
          <cell r="D26">
            <v>6930</v>
          </cell>
        </row>
        <row r="27">
          <cell r="D27">
            <v>3200</v>
          </cell>
        </row>
        <row r="28">
          <cell r="D28">
            <v>4000</v>
          </cell>
        </row>
        <row r="29">
          <cell r="D29">
            <v>8000</v>
          </cell>
        </row>
        <row r="30">
          <cell r="D30">
            <v>7000</v>
          </cell>
        </row>
        <row r="31">
          <cell r="D31">
            <v>3328</v>
          </cell>
        </row>
        <row r="32">
          <cell r="D32">
            <v>14400</v>
          </cell>
        </row>
        <row r="33">
          <cell r="D33">
            <v>5000</v>
          </cell>
        </row>
        <row r="34">
          <cell r="D34">
            <v>8000</v>
          </cell>
        </row>
        <row r="35">
          <cell r="D35">
            <v>800</v>
          </cell>
        </row>
        <row r="36">
          <cell r="D36">
            <v>6000</v>
          </cell>
        </row>
        <row r="37">
          <cell r="D37">
            <v>6000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3">
          <cell r="D43">
            <v>6081</v>
          </cell>
        </row>
        <row r="44">
          <cell r="D44">
            <v>50286</v>
          </cell>
        </row>
        <row r="47">
          <cell r="D47">
            <v>54560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2022"/>
      <sheetName val="Clare"/>
      <sheetName val="Gipping Valley"/>
      <sheetName val="Hadleigh"/>
      <sheetName val="Ixworth"/>
      <sheetName val="Lavenham"/>
      <sheetName val="Mildenhall"/>
      <sheetName val="Sudbury"/>
      <sheetName val="Thingoe"/>
      <sheetName val="Colneys"/>
      <sheetName val="Hartismere &amp; Hoxne"/>
      <sheetName val="Ipswich"/>
      <sheetName val="Loes"/>
      <sheetName val="Samford"/>
      <sheetName val="Saxmundham"/>
      <sheetName val="Waveney and Blyth"/>
      <sheetName val="Woodbridge"/>
      <sheetName val="Stowmarket"/>
      <sheetName val="Hoxne"/>
    </sheetNames>
    <sheetDataSet>
      <sheetData sheetId="0"/>
      <sheetData sheetId="1">
        <row r="8">
          <cell r="I8">
            <v>61767</v>
          </cell>
        </row>
        <row r="9">
          <cell r="I9">
            <v>4500</v>
          </cell>
        </row>
        <row r="12">
          <cell r="I12">
            <v>2220</v>
          </cell>
        </row>
        <row r="13">
          <cell r="I13">
            <v>4969</v>
          </cell>
        </row>
        <row r="14">
          <cell r="I14">
            <v>7063</v>
          </cell>
        </row>
        <row r="15">
          <cell r="I15">
            <v>6798</v>
          </cell>
        </row>
        <row r="16">
          <cell r="I16">
            <v>26142</v>
          </cell>
        </row>
        <row r="17">
          <cell r="I17">
            <v>3135</v>
          </cell>
        </row>
        <row r="18">
          <cell r="I18">
            <v>4969</v>
          </cell>
        </row>
        <row r="19">
          <cell r="I19">
            <v>2220</v>
          </cell>
        </row>
        <row r="23">
          <cell r="I23">
            <v>4860</v>
          </cell>
        </row>
        <row r="24">
          <cell r="I24">
            <v>4860</v>
          </cell>
        </row>
        <row r="25">
          <cell r="I25">
            <v>4536</v>
          </cell>
        </row>
        <row r="26">
          <cell r="I26">
            <v>6480</v>
          </cell>
        </row>
        <row r="27">
          <cell r="I27">
            <v>4536</v>
          </cell>
        </row>
        <row r="28">
          <cell r="I28">
            <v>3564</v>
          </cell>
        </row>
        <row r="29">
          <cell r="I29">
            <v>7452</v>
          </cell>
        </row>
        <row r="33">
          <cell r="I33">
            <v>4695</v>
          </cell>
        </row>
        <row r="34">
          <cell r="I34">
            <v>15978</v>
          </cell>
        </row>
        <row r="35">
          <cell r="I35">
            <v>4695</v>
          </cell>
        </row>
        <row r="36">
          <cell r="I36">
            <v>5514</v>
          </cell>
        </row>
        <row r="37">
          <cell r="I37">
            <v>7794</v>
          </cell>
        </row>
        <row r="38">
          <cell r="I38">
            <v>4396</v>
          </cell>
        </row>
        <row r="41">
          <cell r="I41">
            <v>18963</v>
          </cell>
        </row>
        <row r="42">
          <cell r="I42">
            <v>32063</v>
          </cell>
        </row>
        <row r="43">
          <cell r="I43">
            <v>6206</v>
          </cell>
        </row>
        <row r="44">
          <cell r="I44">
            <v>8620</v>
          </cell>
        </row>
        <row r="45">
          <cell r="I45">
            <v>3103</v>
          </cell>
        </row>
      </sheetData>
      <sheetData sheetId="2">
        <row r="8">
          <cell r="I8">
            <v>5000</v>
          </cell>
        </row>
        <row r="9">
          <cell r="I9">
            <v>10000</v>
          </cell>
        </row>
        <row r="10">
          <cell r="I10">
            <v>1500</v>
          </cell>
        </row>
        <row r="11">
          <cell r="I11">
            <v>5000</v>
          </cell>
        </row>
        <row r="15">
          <cell r="I15">
            <v>38144</v>
          </cell>
        </row>
        <row r="16">
          <cell r="I16">
            <v>13054</v>
          </cell>
        </row>
        <row r="17">
          <cell r="I17">
            <v>18881</v>
          </cell>
        </row>
        <row r="20">
          <cell r="I20">
            <v>12469</v>
          </cell>
        </row>
        <row r="21">
          <cell r="I21">
            <v>12877</v>
          </cell>
        </row>
        <row r="22">
          <cell r="I22">
            <v>3383</v>
          </cell>
        </row>
        <row r="23">
          <cell r="I23">
            <v>3978</v>
          </cell>
        </row>
        <row r="24">
          <cell r="I24">
            <v>21255</v>
          </cell>
        </row>
        <row r="25">
          <cell r="I25">
            <v>4339</v>
          </cell>
        </row>
        <row r="26">
          <cell r="I26">
            <v>4701</v>
          </cell>
        </row>
        <row r="27">
          <cell r="I27">
            <v>9401</v>
          </cell>
        </row>
        <row r="28">
          <cell r="I28">
            <v>-943</v>
          </cell>
        </row>
        <row r="31">
          <cell r="I31">
            <v>66620</v>
          </cell>
        </row>
        <row r="33">
          <cell r="I33">
            <v>5000</v>
          </cell>
        </row>
        <row r="34">
          <cell r="I34">
            <v>5000</v>
          </cell>
        </row>
        <row r="35">
          <cell r="I35">
            <v>2500</v>
          </cell>
        </row>
        <row r="36">
          <cell r="I36">
            <v>2630</v>
          </cell>
        </row>
        <row r="37">
          <cell r="I37">
            <v>4000</v>
          </cell>
        </row>
        <row r="38">
          <cell r="I38">
            <v>4500</v>
          </cell>
        </row>
        <row r="39">
          <cell r="I39">
            <v>6250</v>
          </cell>
        </row>
        <row r="40">
          <cell r="I40">
            <v>2000</v>
          </cell>
        </row>
        <row r="41">
          <cell r="I41">
            <v>27390</v>
          </cell>
        </row>
        <row r="44">
          <cell r="I44">
            <v>24043</v>
          </cell>
        </row>
        <row r="45">
          <cell r="I45">
            <v>10743</v>
          </cell>
        </row>
        <row r="46">
          <cell r="I46">
            <v>2729</v>
          </cell>
        </row>
        <row r="47">
          <cell r="I47">
            <v>14494</v>
          </cell>
        </row>
        <row r="48">
          <cell r="I48">
            <v>9038</v>
          </cell>
        </row>
        <row r="49">
          <cell r="I49">
            <v>7163</v>
          </cell>
        </row>
        <row r="52">
          <cell r="I52">
            <v>27541</v>
          </cell>
        </row>
        <row r="53">
          <cell r="I53">
            <v>7079</v>
          </cell>
        </row>
        <row r="54">
          <cell r="I54">
            <v>10506</v>
          </cell>
        </row>
        <row r="55">
          <cell r="I55">
            <v>9407</v>
          </cell>
        </row>
        <row r="56">
          <cell r="I56">
            <v>4456</v>
          </cell>
        </row>
        <row r="57">
          <cell r="I57">
            <v>7100</v>
          </cell>
        </row>
        <row r="58">
          <cell r="I58">
            <v>5337</v>
          </cell>
        </row>
        <row r="61">
          <cell r="I61">
            <v>27220</v>
          </cell>
        </row>
        <row r="62">
          <cell r="I62">
            <v>27220</v>
          </cell>
        </row>
        <row r="63">
          <cell r="I63">
            <v>14000</v>
          </cell>
        </row>
        <row r="66">
          <cell r="I66">
            <v>66369</v>
          </cell>
        </row>
        <row r="69">
          <cell r="I69">
            <v>72554</v>
          </cell>
        </row>
        <row r="71">
          <cell r="I71">
            <v>-2783</v>
          </cell>
        </row>
      </sheetData>
      <sheetData sheetId="3">
        <row r="8">
          <cell r="I8">
            <v>18210</v>
          </cell>
        </row>
        <row r="9">
          <cell r="I9">
            <v>1000</v>
          </cell>
        </row>
        <row r="10">
          <cell r="I10">
            <v>5888</v>
          </cell>
        </row>
        <row r="11">
          <cell r="I11">
            <v>6494</v>
          </cell>
        </row>
        <row r="12">
          <cell r="I12">
            <v>5888</v>
          </cell>
        </row>
        <row r="13">
          <cell r="I13">
            <v>9102</v>
          </cell>
        </row>
        <row r="16">
          <cell r="I16">
            <v>11000</v>
          </cell>
        </row>
        <row r="17">
          <cell r="I17">
            <v>14715</v>
          </cell>
        </row>
        <row r="18">
          <cell r="I18">
            <v>13560</v>
          </cell>
        </row>
        <row r="19">
          <cell r="I19">
            <v>22500</v>
          </cell>
        </row>
        <row r="22">
          <cell r="I22">
            <v>49474</v>
          </cell>
        </row>
        <row r="23">
          <cell r="I23">
            <v>11338</v>
          </cell>
        </row>
        <row r="24">
          <cell r="I24">
            <v>8200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39103</v>
          </cell>
        </row>
        <row r="34">
          <cell r="I34">
            <v>12000</v>
          </cell>
        </row>
        <row r="35">
          <cell r="I35">
            <v>20000</v>
          </cell>
        </row>
        <row r="36">
          <cell r="I36">
            <v>12300</v>
          </cell>
        </row>
        <row r="37">
          <cell r="I37">
            <v>20000</v>
          </cell>
        </row>
        <row r="38">
          <cell r="I38">
            <v>8054</v>
          </cell>
        </row>
      </sheetData>
      <sheetData sheetId="4">
        <row r="8">
          <cell r="I8">
            <v>9010</v>
          </cell>
        </row>
        <row r="9">
          <cell r="I9">
            <v>8610</v>
          </cell>
        </row>
        <row r="10">
          <cell r="I10">
            <v>2860</v>
          </cell>
        </row>
        <row r="11">
          <cell r="I11">
            <v>28637</v>
          </cell>
        </row>
        <row r="12">
          <cell r="I12">
            <v>4960</v>
          </cell>
        </row>
        <row r="13">
          <cell r="I13">
            <v>6603</v>
          </cell>
        </row>
        <row r="17">
          <cell r="I17">
            <v>5500</v>
          </cell>
        </row>
        <row r="18">
          <cell r="I18">
            <v>8000</v>
          </cell>
        </row>
        <row r="19">
          <cell r="I19">
            <v>4500</v>
          </cell>
        </row>
        <row r="20">
          <cell r="I20">
            <v>1500</v>
          </cell>
        </row>
        <row r="21">
          <cell r="I21">
            <v>9500</v>
          </cell>
        </row>
        <row r="22">
          <cell r="I22">
            <v>13264</v>
          </cell>
        </row>
        <row r="23">
          <cell r="I23">
            <v>8200</v>
          </cell>
        </row>
        <row r="24">
          <cell r="I24">
            <v>3000</v>
          </cell>
        </row>
        <row r="25">
          <cell r="I25">
            <v>7000</v>
          </cell>
        </row>
        <row r="28">
          <cell r="I28">
            <v>9600</v>
          </cell>
        </row>
        <row r="29">
          <cell r="I29">
            <v>2800</v>
          </cell>
        </row>
        <row r="30">
          <cell r="I30">
            <v>13000</v>
          </cell>
        </row>
        <row r="31">
          <cell r="I31">
            <v>20000</v>
          </cell>
        </row>
        <row r="32">
          <cell r="I32">
            <v>2000</v>
          </cell>
        </row>
        <row r="33">
          <cell r="I33">
            <v>13000</v>
          </cell>
        </row>
        <row r="34">
          <cell r="I34">
            <v>3509</v>
          </cell>
        </row>
        <row r="37">
          <cell r="I37">
            <v>9468</v>
          </cell>
        </row>
        <row r="38">
          <cell r="I38">
            <v>6420</v>
          </cell>
        </row>
        <row r="39">
          <cell r="I39">
            <v>5966</v>
          </cell>
        </row>
        <row r="40">
          <cell r="I40">
            <v>6031</v>
          </cell>
        </row>
        <row r="41">
          <cell r="I41">
            <v>8495</v>
          </cell>
        </row>
        <row r="42">
          <cell r="I42">
            <v>4864</v>
          </cell>
        </row>
        <row r="43">
          <cell r="I43">
            <v>19520</v>
          </cell>
        </row>
        <row r="44">
          <cell r="I44">
            <v>4086</v>
          </cell>
        </row>
      </sheetData>
      <sheetData sheetId="5">
        <row r="8">
          <cell r="I8">
            <v>6882</v>
          </cell>
        </row>
        <row r="9">
          <cell r="I9">
            <v>13763</v>
          </cell>
        </row>
        <row r="10">
          <cell r="I10">
            <v>33031</v>
          </cell>
        </row>
        <row r="11">
          <cell r="I11">
            <v>10322</v>
          </cell>
        </row>
        <row r="12">
          <cell r="I12">
            <v>4817</v>
          </cell>
        </row>
        <row r="15">
          <cell r="I15">
            <v>69956</v>
          </cell>
        </row>
        <row r="17">
          <cell r="I17">
            <v>62251</v>
          </cell>
        </row>
        <row r="18">
          <cell r="I18">
            <v>7694</v>
          </cell>
        </row>
        <row r="21">
          <cell r="I21">
            <v>7432</v>
          </cell>
        </row>
        <row r="22">
          <cell r="I22">
            <v>7432</v>
          </cell>
        </row>
        <row r="23">
          <cell r="I23">
            <v>3716</v>
          </cell>
        </row>
        <row r="24">
          <cell r="I24">
            <v>4831</v>
          </cell>
        </row>
        <row r="25">
          <cell r="I25">
            <v>13749</v>
          </cell>
        </row>
        <row r="28">
          <cell r="I28">
            <v>10120</v>
          </cell>
        </row>
        <row r="29">
          <cell r="I29">
            <v>20240</v>
          </cell>
        </row>
        <row r="30">
          <cell r="I30">
            <v>24963</v>
          </cell>
        </row>
        <row r="31">
          <cell r="I31">
            <v>12145</v>
          </cell>
        </row>
        <row r="34">
          <cell r="I34">
            <v>41591</v>
          </cell>
        </row>
        <row r="35">
          <cell r="I35">
            <v>21568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8">
          <cell r="I48">
            <v>19677</v>
          </cell>
        </row>
        <row r="49">
          <cell r="I49">
            <v>48155</v>
          </cell>
        </row>
      </sheetData>
      <sheetData sheetId="6">
        <row r="8">
          <cell r="I8">
            <v>60436</v>
          </cell>
        </row>
        <row r="11">
          <cell r="I11">
            <v>1400</v>
          </cell>
        </row>
        <row r="12">
          <cell r="I12">
            <v>13000</v>
          </cell>
        </row>
        <row r="13">
          <cell r="I13">
            <v>5800</v>
          </cell>
        </row>
        <row r="17">
          <cell r="I17">
            <v>0</v>
          </cell>
        </row>
        <row r="19">
          <cell r="I19"/>
        </row>
        <row r="20">
          <cell r="I20"/>
        </row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1">
          <cell r="I31"/>
        </row>
        <row r="32">
          <cell r="I32"/>
        </row>
        <row r="33">
          <cell r="I33"/>
        </row>
        <row r="34">
          <cell r="I34"/>
        </row>
        <row r="37">
          <cell r="I37">
            <v>70000</v>
          </cell>
        </row>
        <row r="39">
          <cell r="I39">
            <v>12770</v>
          </cell>
        </row>
        <row r="40">
          <cell r="I40">
            <v>35366</v>
          </cell>
        </row>
        <row r="41">
          <cell r="I41">
            <v>21283</v>
          </cell>
        </row>
      </sheetData>
      <sheetData sheetId="7">
        <row r="8">
          <cell r="I8">
            <v>11182</v>
          </cell>
        </row>
        <row r="9">
          <cell r="I9">
            <v>11182</v>
          </cell>
        </row>
        <row r="12">
          <cell r="I12">
            <v>27492</v>
          </cell>
        </row>
        <row r="13">
          <cell r="I13">
            <v>10309.5</v>
          </cell>
        </row>
        <row r="14">
          <cell r="I14">
            <v>10309.5</v>
          </cell>
        </row>
        <row r="15">
          <cell r="I15">
            <v>10309.5</v>
          </cell>
        </row>
        <row r="16">
          <cell r="I16">
            <v>10309.5</v>
          </cell>
        </row>
        <row r="17">
          <cell r="I17">
            <v>0</v>
          </cell>
        </row>
        <row r="20">
          <cell r="I20">
            <v>8664</v>
          </cell>
        </row>
        <row r="21">
          <cell r="I21">
            <v>55262</v>
          </cell>
        </row>
        <row r="22">
          <cell r="I22">
            <v>10563</v>
          </cell>
        </row>
        <row r="25">
          <cell r="I25">
            <v>27450</v>
          </cell>
        </row>
        <row r="26">
          <cell r="I26">
            <v>23528</v>
          </cell>
        </row>
        <row r="27">
          <cell r="I27">
            <v>4525</v>
          </cell>
        </row>
        <row r="28">
          <cell r="I28">
            <v>4827</v>
          </cell>
        </row>
        <row r="31">
          <cell r="I31">
            <v>51032</v>
          </cell>
        </row>
        <row r="34">
          <cell r="I34">
            <v>36164</v>
          </cell>
        </row>
        <row r="36">
          <cell r="I36">
            <v>46778</v>
          </cell>
        </row>
        <row r="38">
          <cell r="I38">
            <v>9663.92</v>
          </cell>
        </row>
        <row r="39">
          <cell r="I39">
            <v>59364.08</v>
          </cell>
        </row>
      </sheetData>
      <sheetData sheetId="8">
        <row r="8">
          <cell r="I8">
            <v>45000</v>
          </cell>
        </row>
        <row r="10">
          <cell r="I10">
            <v>156000</v>
          </cell>
        </row>
        <row r="12">
          <cell r="I12">
            <v>37308</v>
          </cell>
        </row>
        <row r="13">
          <cell r="I13">
            <v>29308</v>
          </cell>
        </row>
        <row r="16">
          <cell r="I16"/>
        </row>
        <row r="20">
          <cell r="I20"/>
        </row>
        <row r="21">
          <cell r="I21"/>
        </row>
        <row r="24">
          <cell r="I24">
            <v>11500</v>
          </cell>
        </row>
        <row r="25">
          <cell r="I25">
            <v>2000</v>
          </cell>
        </row>
        <row r="26">
          <cell r="I26">
            <v>5600</v>
          </cell>
        </row>
        <row r="27">
          <cell r="I27">
            <v>1300</v>
          </cell>
        </row>
        <row r="28">
          <cell r="I28">
            <v>13000</v>
          </cell>
        </row>
        <row r="31">
          <cell r="I31">
            <v>40000</v>
          </cell>
        </row>
        <row r="32">
          <cell r="I32">
            <v>9605</v>
          </cell>
        </row>
        <row r="33">
          <cell r="I33">
            <v>46833</v>
          </cell>
        </row>
        <row r="41">
          <cell r="I41">
            <v>34850</v>
          </cell>
        </row>
        <row r="44">
          <cell r="I44">
            <v>37804</v>
          </cell>
        </row>
      </sheetData>
      <sheetData sheetId="9">
        <row r="8">
          <cell r="I8">
            <v>65933</v>
          </cell>
        </row>
        <row r="10">
          <cell r="I10">
            <v>73779</v>
          </cell>
        </row>
        <row r="13">
          <cell r="I13">
            <v>52223</v>
          </cell>
        </row>
        <row r="14">
          <cell r="I14">
            <v>7500</v>
          </cell>
        </row>
        <row r="15">
          <cell r="I15">
            <v>7500</v>
          </cell>
        </row>
        <row r="18">
          <cell r="I18">
            <v>8007</v>
          </cell>
        </row>
        <row r="19">
          <cell r="I19">
            <v>62629</v>
          </cell>
        </row>
        <row r="22">
          <cell r="I22">
            <v>56844</v>
          </cell>
        </row>
        <row r="24">
          <cell r="I24">
            <v>24148</v>
          </cell>
        </row>
        <row r="25">
          <cell r="I25">
            <v>44966</v>
          </cell>
        </row>
        <row r="28">
          <cell r="I28">
            <v>10415</v>
          </cell>
        </row>
        <row r="29">
          <cell r="I29">
            <v>7110</v>
          </cell>
        </row>
        <row r="30">
          <cell r="I30">
            <v>2703</v>
          </cell>
        </row>
        <row r="31">
          <cell r="I31">
            <v>19853</v>
          </cell>
        </row>
        <row r="32">
          <cell r="I32">
            <v>7451</v>
          </cell>
        </row>
        <row r="33">
          <cell r="I33">
            <v>13811</v>
          </cell>
        </row>
        <row r="34">
          <cell r="I34">
            <v>5285</v>
          </cell>
        </row>
        <row r="35">
          <cell r="I35">
            <v>8752</v>
          </cell>
        </row>
      </sheetData>
      <sheetData sheetId="10">
        <row r="8">
          <cell r="I8">
            <v>7650</v>
          </cell>
        </row>
        <row r="9">
          <cell r="I9">
            <v>47927</v>
          </cell>
        </row>
        <row r="10">
          <cell r="I10">
            <v>10715</v>
          </cell>
        </row>
        <row r="13">
          <cell r="I13">
            <v>12398</v>
          </cell>
        </row>
        <row r="14">
          <cell r="I14">
            <v>7438</v>
          </cell>
        </row>
        <row r="15">
          <cell r="I15">
            <v>16737</v>
          </cell>
        </row>
        <row r="16">
          <cell r="I16">
            <v>6199</v>
          </cell>
        </row>
        <row r="17">
          <cell r="I17">
            <v>5579</v>
          </cell>
        </row>
        <row r="18">
          <cell r="I18">
            <v>13638</v>
          </cell>
        </row>
        <row r="21">
          <cell r="I21">
            <v>65751</v>
          </cell>
        </row>
        <row r="23">
          <cell r="I23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0">
          <cell r="I30"/>
        </row>
        <row r="33">
          <cell r="I33">
            <v>526</v>
          </cell>
        </row>
        <row r="34">
          <cell r="I34">
            <v>2106</v>
          </cell>
        </row>
        <row r="35">
          <cell r="I35">
            <v>3161</v>
          </cell>
        </row>
        <row r="36">
          <cell r="I36">
            <v>9268</v>
          </cell>
        </row>
        <row r="37">
          <cell r="I37">
            <v>1055</v>
          </cell>
        </row>
        <row r="38">
          <cell r="I38">
            <v>2581</v>
          </cell>
        </row>
        <row r="39">
          <cell r="I39">
            <v>3422</v>
          </cell>
        </row>
        <row r="43">
          <cell r="I43"/>
        </row>
        <row r="44">
          <cell r="I44"/>
        </row>
        <row r="45">
          <cell r="I45"/>
        </row>
        <row r="46">
          <cell r="I46"/>
        </row>
        <row r="47">
          <cell r="I47"/>
        </row>
        <row r="49">
          <cell r="I49"/>
        </row>
        <row r="50">
          <cell r="I50"/>
        </row>
        <row r="53">
          <cell r="I53">
            <v>24800</v>
          </cell>
        </row>
        <row r="54">
          <cell r="I54">
            <v>11020</v>
          </cell>
        </row>
        <row r="55">
          <cell r="I55">
            <v>11020</v>
          </cell>
        </row>
        <row r="56">
          <cell r="I56">
            <v>11020</v>
          </cell>
        </row>
        <row r="57">
          <cell r="I57">
            <v>5510</v>
          </cell>
        </row>
        <row r="58">
          <cell r="I58">
            <v>5510</v>
          </cell>
        </row>
        <row r="59">
          <cell r="I59"/>
        </row>
      </sheetData>
      <sheetData sheetId="11">
        <row r="8">
          <cell r="I8">
            <v>18098</v>
          </cell>
        </row>
        <row r="11">
          <cell r="I11">
            <v>75665</v>
          </cell>
        </row>
        <row r="13">
          <cell r="I13">
            <v>81103</v>
          </cell>
        </row>
        <row r="15">
          <cell r="I15">
            <v>63715</v>
          </cell>
        </row>
        <row r="21">
          <cell r="I21">
            <v>37234</v>
          </cell>
        </row>
        <row r="23">
          <cell r="I23">
            <v>68489</v>
          </cell>
        </row>
        <row r="25">
          <cell r="I25">
            <v>58243</v>
          </cell>
        </row>
        <row r="27">
          <cell r="I27">
            <v>15870</v>
          </cell>
        </row>
        <row r="33">
          <cell r="I33">
            <v>126410</v>
          </cell>
        </row>
        <row r="35">
          <cell r="I35">
            <v>51617</v>
          </cell>
        </row>
        <row r="38">
          <cell r="I38">
            <v>67813</v>
          </cell>
        </row>
        <row r="40">
          <cell r="I40">
            <v>61287</v>
          </cell>
        </row>
        <row r="42">
          <cell r="I42">
            <v>2911</v>
          </cell>
        </row>
        <row r="44">
          <cell r="I44">
            <v>32100</v>
          </cell>
        </row>
        <row r="48">
          <cell r="I48">
            <v>37052</v>
          </cell>
        </row>
        <row r="52">
          <cell r="I52">
            <v>53766</v>
          </cell>
        </row>
        <row r="58">
          <cell r="I58">
            <v>0</v>
          </cell>
        </row>
      </sheetData>
      <sheetData sheetId="12">
        <row r="8">
          <cell r="I8">
            <v>61901</v>
          </cell>
        </row>
        <row r="9">
          <cell r="I9">
            <v>6878</v>
          </cell>
        </row>
        <row r="12">
          <cell r="I12">
            <v>10000</v>
          </cell>
        </row>
        <row r="13">
          <cell r="I13">
            <v>6000</v>
          </cell>
        </row>
        <row r="14">
          <cell r="I14">
            <v>9500</v>
          </cell>
        </row>
        <row r="15">
          <cell r="I15">
            <v>7218</v>
          </cell>
        </row>
        <row r="16">
          <cell r="I16">
            <v>9514</v>
          </cell>
        </row>
        <row r="17">
          <cell r="I17">
            <v>9000</v>
          </cell>
        </row>
        <row r="18">
          <cell r="I18">
            <v>6000</v>
          </cell>
        </row>
        <row r="20">
          <cell r="I20">
            <v>11587</v>
          </cell>
        </row>
        <row r="23">
          <cell r="I23"/>
        </row>
        <row r="25">
          <cell r="I25"/>
        </row>
        <row r="26">
          <cell r="I26"/>
        </row>
        <row r="27">
          <cell r="I27"/>
        </row>
        <row r="28">
          <cell r="I28"/>
        </row>
        <row r="29">
          <cell r="I29"/>
        </row>
        <row r="32">
          <cell r="I32">
            <v>7843</v>
          </cell>
        </row>
        <row r="33">
          <cell r="I33">
            <v>8556</v>
          </cell>
        </row>
        <row r="34">
          <cell r="I34">
            <v>9268</v>
          </cell>
        </row>
        <row r="35">
          <cell r="I35">
            <v>8199</v>
          </cell>
        </row>
        <row r="36">
          <cell r="I36">
            <v>12120</v>
          </cell>
        </row>
        <row r="37">
          <cell r="I37">
            <v>7130</v>
          </cell>
        </row>
        <row r="38">
          <cell r="I38">
            <v>2495</v>
          </cell>
        </row>
        <row r="39">
          <cell r="I39">
            <v>9268</v>
          </cell>
        </row>
        <row r="43">
          <cell r="I43">
            <v>3393</v>
          </cell>
        </row>
        <row r="44">
          <cell r="I44">
            <v>2099</v>
          </cell>
        </row>
        <row r="45">
          <cell r="I45">
            <v>1940</v>
          </cell>
        </row>
        <row r="46">
          <cell r="I46">
            <v>3877</v>
          </cell>
        </row>
        <row r="47">
          <cell r="I47">
            <v>2584</v>
          </cell>
        </row>
        <row r="48">
          <cell r="I48">
            <v>2261</v>
          </cell>
        </row>
      </sheetData>
      <sheetData sheetId="13">
        <row r="8">
          <cell r="I8">
            <v>18000</v>
          </cell>
        </row>
        <row r="9">
          <cell r="I9">
            <v>4166</v>
          </cell>
        </row>
        <row r="12">
          <cell r="I12">
            <v>26025</v>
          </cell>
        </row>
        <row r="13">
          <cell r="I13">
            <v>52047</v>
          </cell>
        </row>
        <row r="16">
          <cell r="I16">
            <v>6220</v>
          </cell>
        </row>
        <row r="17">
          <cell r="I17">
            <v>10017</v>
          </cell>
        </row>
        <row r="18">
          <cell r="I18">
            <v>9011</v>
          </cell>
        </row>
        <row r="19">
          <cell r="I19">
            <v>17228</v>
          </cell>
        </row>
        <row r="20">
          <cell r="I20">
            <v>17396</v>
          </cell>
        </row>
        <row r="21">
          <cell r="I21">
            <v>9428</v>
          </cell>
        </row>
        <row r="24">
          <cell r="I24">
            <v>23325</v>
          </cell>
        </row>
        <row r="25">
          <cell r="I25">
            <v>10643</v>
          </cell>
        </row>
        <row r="26">
          <cell r="I26">
            <v>16952</v>
          </cell>
        </row>
        <row r="27">
          <cell r="I27">
            <v>17630</v>
          </cell>
        </row>
        <row r="31">
          <cell r="I31">
            <v>5351</v>
          </cell>
        </row>
        <row r="32">
          <cell r="I32">
            <v>23533</v>
          </cell>
        </row>
        <row r="33">
          <cell r="I33">
            <v>22066</v>
          </cell>
        </row>
        <row r="34">
          <cell r="I34">
            <v>8736</v>
          </cell>
        </row>
        <row r="35">
          <cell r="I35">
            <v>8680</v>
          </cell>
        </row>
      </sheetData>
      <sheetData sheetId="14">
        <row r="8">
          <cell r="I8">
            <v>12900</v>
          </cell>
        </row>
        <row r="9">
          <cell r="I9">
            <v>9800</v>
          </cell>
        </row>
        <row r="10">
          <cell r="I10">
            <v>7849</v>
          </cell>
        </row>
        <row r="11">
          <cell r="I11">
            <v>7909</v>
          </cell>
        </row>
        <row r="12">
          <cell r="I12">
            <v>5100</v>
          </cell>
        </row>
        <row r="13">
          <cell r="I13">
            <v>13950</v>
          </cell>
        </row>
        <row r="14">
          <cell r="I14">
            <v>5100</v>
          </cell>
        </row>
        <row r="15">
          <cell r="I15">
            <v>3500</v>
          </cell>
        </row>
        <row r="18">
          <cell r="I18">
            <v>51707</v>
          </cell>
        </row>
        <row r="19">
          <cell r="I19">
            <v>19662</v>
          </cell>
        </row>
        <row r="20">
          <cell r="I20">
            <v>8659</v>
          </cell>
        </row>
        <row r="21">
          <cell r="I21">
            <v>8981</v>
          </cell>
        </row>
        <row r="24">
          <cell r="I24">
            <v>61695</v>
          </cell>
        </row>
        <row r="27">
          <cell r="I27">
            <v>22871</v>
          </cell>
        </row>
        <row r="28">
          <cell r="I28">
            <v>45741</v>
          </cell>
        </row>
        <row r="31">
          <cell r="I31">
            <v>5510</v>
          </cell>
        </row>
        <row r="32">
          <cell r="I32">
            <v>11988</v>
          </cell>
        </row>
        <row r="33">
          <cell r="I33">
            <v>8356</v>
          </cell>
        </row>
        <row r="34">
          <cell r="I34">
            <v>10770</v>
          </cell>
        </row>
        <row r="36">
          <cell r="I36">
            <v>5261</v>
          </cell>
        </row>
        <row r="37">
          <cell r="I37">
            <v>12379</v>
          </cell>
        </row>
        <row r="38">
          <cell r="I38">
            <v>10708</v>
          </cell>
        </row>
      </sheetData>
      <sheetData sheetId="15">
        <row r="8">
          <cell r="I8">
            <v>58691</v>
          </cell>
        </row>
        <row r="9">
          <cell r="I9">
            <v>5000</v>
          </cell>
        </row>
        <row r="10">
          <cell r="I10">
            <v>5000</v>
          </cell>
        </row>
        <row r="13">
          <cell r="I13">
            <v>1836</v>
          </cell>
        </row>
        <row r="14">
          <cell r="I14">
            <v>11688</v>
          </cell>
        </row>
        <row r="15">
          <cell r="I15">
            <v>8364</v>
          </cell>
        </row>
        <row r="16">
          <cell r="I16">
            <v>22916</v>
          </cell>
        </row>
        <row r="17">
          <cell r="I17">
            <v>17880</v>
          </cell>
        </row>
        <row r="18">
          <cell r="I18">
            <v>6420</v>
          </cell>
        </row>
        <row r="19">
          <cell r="I19">
            <v>6648</v>
          </cell>
        </row>
        <row r="20">
          <cell r="I20">
            <v>1836</v>
          </cell>
        </row>
        <row r="21">
          <cell r="I21">
            <v>18336</v>
          </cell>
        </row>
        <row r="22">
          <cell r="I22">
            <v>11580</v>
          </cell>
        </row>
        <row r="23">
          <cell r="I23">
            <v>5694</v>
          </cell>
        </row>
        <row r="24">
          <cell r="I24">
            <v>1488</v>
          </cell>
        </row>
        <row r="25">
          <cell r="I25">
            <v>2412</v>
          </cell>
        </row>
        <row r="26">
          <cell r="I26">
            <v>3204</v>
          </cell>
        </row>
        <row r="29">
          <cell r="I29">
            <v>15000</v>
          </cell>
        </row>
        <row r="30">
          <cell r="I30">
            <v>25196</v>
          </cell>
        </row>
        <row r="31">
          <cell r="I31">
            <v>1500</v>
          </cell>
        </row>
        <row r="32">
          <cell r="I32">
            <v>24814</v>
          </cell>
        </row>
        <row r="35">
          <cell r="I35">
            <v>7553</v>
          </cell>
        </row>
        <row r="36">
          <cell r="I36">
            <v>5325</v>
          </cell>
        </row>
        <row r="37">
          <cell r="I37">
            <v>6467</v>
          </cell>
        </row>
        <row r="38">
          <cell r="I38">
            <v>4628</v>
          </cell>
        </row>
        <row r="39">
          <cell r="I39">
            <v>7776</v>
          </cell>
        </row>
        <row r="40">
          <cell r="I40">
            <v>6300</v>
          </cell>
        </row>
        <row r="41">
          <cell r="I41">
            <v>3932</v>
          </cell>
        </row>
        <row r="42">
          <cell r="I42">
            <v>7581</v>
          </cell>
        </row>
        <row r="43">
          <cell r="I43">
            <v>5157</v>
          </cell>
        </row>
        <row r="44">
          <cell r="I44">
            <v>3000</v>
          </cell>
        </row>
        <row r="47">
          <cell r="I47">
            <v>2024</v>
          </cell>
        </row>
        <row r="48">
          <cell r="I48">
            <v>1970</v>
          </cell>
        </row>
        <row r="49">
          <cell r="I49">
            <v>1637</v>
          </cell>
        </row>
        <row r="50">
          <cell r="I50">
            <v>1970</v>
          </cell>
        </row>
        <row r="51">
          <cell r="I51">
            <v>1956</v>
          </cell>
        </row>
        <row r="52">
          <cell r="I52">
            <v>2870</v>
          </cell>
        </row>
        <row r="53">
          <cell r="I53">
            <v>1849</v>
          </cell>
        </row>
        <row r="54">
          <cell r="I54">
            <v>2110</v>
          </cell>
        </row>
        <row r="55">
          <cell r="I55">
            <v>1795</v>
          </cell>
        </row>
        <row r="56">
          <cell r="I56">
            <v>1670</v>
          </cell>
        </row>
        <row r="57">
          <cell r="I57">
            <v>1607</v>
          </cell>
        </row>
        <row r="60">
          <cell r="I60">
            <v>13965</v>
          </cell>
        </row>
        <row r="61">
          <cell r="I61">
            <v>30034</v>
          </cell>
        </row>
        <row r="62">
          <cell r="I62">
            <v>697</v>
          </cell>
        </row>
        <row r="63">
          <cell r="I63">
            <v>2635</v>
          </cell>
        </row>
        <row r="64">
          <cell r="I64">
            <v>59737</v>
          </cell>
        </row>
        <row r="65">
          <cell r="I65">
            <v>5243</v>
          </cell>
        </row>
        <row r="66">
          <cell r="I66">
            <v>17295</v>
          </cell>
        </row>
        <row r="67">
          <cell r="I67">
            <v>8405</v>
          </cell>
        </row>
        <row r="71">
          <cell r="I71">
            <v>2725</v>
          </cell>
        </row>
        <row r="72">
          <cell r="I72">
            <v>2120</v>
          </cell>
        </row>
        <row r="73">
          <cell r="I73">
            <v>1969</v>
          </cell>
        </row>
        <row r="74">
          <cell r="I74">
            <v>2423</v>
          </cell>
        </row>
        <row r="79">
          <cell r="I79"/>
        </row>
      </sheetData>
      <sheetData sheetId="16">
        <row r="14">
          <cell r="I14">
            <v>45396</v>
          </cell>
        </row>
        <row r="15">
          <cell r="I15">
            <v>25000</v>
          </cell>
        </row>
        <row r="30">
          <cell r="I30">
            <v>13047</v>
          </cell>
        </row>
        <row r="31">
          <cell r="I31">
            <v>3799</v>
          </cell>
        </row>
        <row r="32">
          <cell r="I32">
            <v>3000</v>
          </cell>
        </row>
        <row r="33">
          <cell r="I33">
            <v>9900</v>
          </cell>
        </row>
        <row r="34">
          <cell r="I34">
            <v>4900</v>
          </cell>
        </row>
        <row r="35">
          <cell r="I35">
            <v>4700</v>
          </cell>
        </row>
        <row r="36">
          <cell r="I36">
            <v>12900</v>
          </cell>
        </row>
        <row r="37">
          <cell r="I37">
            <v>10560</v>
          </cell>
        </row>
        <row r="38">
          <cell r="I38">
            <v>5000</v>
          </cell>
        </row>
        <row r="39">
          <cell r="I39">
            <v>21600</v>
          </cell>
        </row>
        <row r="40">
          <cell r="I40">
            <v>5000</v>
          </cell>
        </row>
        <row r="41">
          <cell r="I41">
            <v>16000</v>
          </cell>
        </row>
        <row r="42">
          <cell r="I42">
            <v>3799</v>
          </cell>
        </row>
        <row r="43">
          <cell r="I43">
            <v>9000</v>
          </cell>
        </row>
        <row r="44">
          <cell r="I44">
            <v>10000</v>
          </cell>
        </row>
        <row r="45">
          <cell r="I45">
            <v>5300</v>
          </cell>
        </row>
        <row r="46">
          <cell r="I46">
            <v>600</v>
          </cell>
        </row>
        <row r="47">
          <cell r="I47"/>
        </row>
        <row r="48">
          <cell r="I48">
            <v>-317</v>
          </cell>
        </row>
        <row r="49">
          <cell r="I49">
            <v>30156</v>
          </cell>
        </row>
        <row r="52">
          <cell r="I52">
            <v>12163</v>
          </cell>
        </row>
        <row r="53">
          <cell r="I53">
            <v>75426</v>
          </cell>
        </row>
        <row r="56">
          <cell r="I56">
            <v>74330</v>
          </cell>
        </row>
        <row r="57">
          <cell r="I57">
            <v>0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Historic Monthly Totals"/>
      <sheetName val="Data"/>
      <sheetName val="Overview"/>
      <sheetName val="Clare"/>
      <sheetName val="Gipping Valley"/>
      <sheetName val="Hadleigh"/>
      <sheetName val="Ixworth"/>
      <sheetName val="Lavenham"/>
      <sheetName val="Mildenhall"/>
      <sheetName val="Sudbury"/>
      <sheetName val="Thingoe"/>
      <sheetName val="Colneys"/>
      <sheetName val="Hartismere &amp; 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D21">
            <v>0</v>
          </cell>
        </row>
      </sheetData>
      <sheetData sheetId="7"/>
      <sheetData sheetId="8"/>
      <sheetData sheetId="9"/>
      <sheetData sheetId="10"/>
      <sheetData sheetId="11">
        <row r="18">
          <cell r="D18">
            <v>0</v>
          </cell>
        </row>
      </sheetData>
      <sheetData sheetId="12"/>
      <sheetData sheetId="13"/>
      <sheetData sheetId="14"/>
      <sheetData sheetId="15"/>
      <sheetData sheetId="16"/>
      <sheetData sheetId="17">
        <row r="40">
          <cell r="D40">
            <v>0</v>
          </cell>
        </row>
      </sheetData>
      <sheetData sheetId="18"/>
      <sheetData sheetId="19"/>
      <sheetData sheetId="20"/>
      <sheetData sheetId="21">
        <row r="48">
          <cell r="D48">
            <v>-5000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Overview"/>
      <sheetName val="Historic Monthly Totals"/>
      <sheetName val="Data"/>
      <sheetName val="Waivers 2021"/>
      <sheetName val="Clare"/>
      <sheetName val="Gipping Valley"/>
      <sheetName val="Hadleigh"/>
      <sheetName val="Ixworth"/>
      <sheetName val="Lavenham"/>
      <sheetName val="Mildenhall"/>
      <sheetName val="Sudbury"/>
      <sheetName val="Thingoe"/>
      <sheetName val="Ipswich"/>
      <sheetName val="Colneys"/>
      <sheetName val="Hartismere &amp; Hoxne"/>
      <sheetName val="Loes"/>
      <sheetName val="Samford"/>
      <sheetName val="Saxmundham"/>
      <sheetName val="Waveney &amp; Blyth"/>
      <sheetName val="Woodbridge"/>
    </sheetNames>
    <sheetDataSet>
      <sheetData sheetId="0">
        <row r="7">
          <cell r="D7">
            <v>234109</v>
          </cell>
        </row>
        <row r="8">
          <cell r="D8">
            <v>595122</v>
          </cell>
        </row>
        <row r="9">
          <cell r="D9">
            <v>292922</v>
          </cell>
        </row>
        <row r="10">
          <cell r="D10">
            <v>243791</v>
          </cell>
        </row>
        <row r="11">
          <cell r="D11">
            <v>464653</v>
          </cell>
        </row>
        <row r="12">
          <cell r="D12">
            <v>335652</v>
          </cell>
        </row>
        <row r="13">
          <cell r="D13">
            <v>411203</v>
          </cell>
        </row>
        <row r="14">
          <cell r="D14">
            <v>492746</v>
          </cell>
        </row>
        <row r="18">
          <cell r="D18">
            <v>473310</v>
          </cell>
        </row>
        <row r="19">
          <cell r="D19">
            <v>402313</v>
          </cell>
        </row>
        <row r="20">
          <cell r="D20">
            <v>335606</v>
          </cell>
        </row>
        <row r="21">
          <cell r="D21">
            <v>300651</v>
          </cell>
        </row>
        <row r="22">
          <cell r="D22">
            <v>321682</v>
          </cell>
        </row>
        <row r="23">
          <cell r="D23">
            <v>470520</v>
          </cell>
        </row>
        <row r="24">
          <cell r="D24">
            <v>468206</v>
          </cell>
        </row>
        <row r="28">
          <cell r="D28">
            <v>787048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Historic Monthly Totals"/>
      <sheetName val="Data"/>
      <sheetName val="Overview"/>
      <sheetName val="Clare"/>
      <sheetName val="Gipping Valley"/>
      <sheetName val="Hadleigh"/>
      <sheetName val="Ixworth"/>
      <sheetName val="Lavenham"/>
      <sheetName val="Mildenhall"/>
      <sheetName val="Sudbury"/>
      <sheetName val="Thingoe"/>
      <sheetName val="Colneys"/>
      <sheetName val="Hartismere &amp; 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8">
          <cell r="D48">
            <v>101312</v>
          </cell>
        </row>
      </sheetData>
      <sheetData sheetId="7">
        <row r="74">
          <cell r="D74">
            <v>336842</v>
          </cell>
        </row>
      </sheetData>
      <sheetData sheetId="8">
        <row r="45">
          <cell r="D45">
            <v>158977</v>
          </cell>
        </row>
      </sheetData>
      <sheetData sheetId="9">
        <row r="45">
          <cell r="D45">
            <v>108188</v>
          </cell>
        </row>
      </sheetData>
      <sheetData sheetId="10">
        <row r="54">
          <cell r="D54">
            <v>237740</v>
          </cell>
        </row>
      </sheetData>
      <sheetData sheetId="11">
        <row r="49">
          <cell r="D49">
            <v>170435</v>
          </cell>
        </row>
      </sheetData>
      <sheetData sheetId="12">
        <row r="47">
          <cell r="D47">
            <v>201767</v>
          </cell>
        </row>
      </sheetData>
      <sheetData sheetId="13">
        <row r="47">
          <cell r="D47">
            <v>338472</v>
          </cell>
        </row>
      </sheetData>
      <sheetData sheetId="14">
        <row r="37">
          <cell r="D37">
            <v>290939</v>
          </cell>
        </row>
      </sheetData>
      <sheetData sheetId="15">
        <row r="62">
          <cell r="D62">
            <v>161551</v>
          </cell>
        </row>
      </sheetData>
      <sheetData sheetId="16">
        <row r="50">
          <cell r="D50">
            <v>397809</v>
          </cell>
        </row>
      </sheetData>
      <sheetData sheetId="17">
        <row r="55">
          <cell r="D55">
            <v>144590</v>
          </cell>
        </row>
      </sheetData>
      <sheetData sheetId="18">
        <row r="38">
          <cell r="D38">
            <v>128463</v>
          </cell>
        </row>
      </sheetData>
      <sheetData sheetId="19">
        <row r="41">
          <cell r="D41">
            <v>174435</v>
          </cell>
        </row>
      </sheetData>
      <sheetData sheetId="20">
        <row r="76">
          <cell r="D76">
            <v>218133</v>
          </cell>
        </row>
      </sheetData>
      <sheetData sheetId="21">
        <row r="51">
          <cell r="D51">
            <v>315085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ledgerData" displayName="XledgerData" ref="A1:E441" totalsRowShown="0" headerRowDxfId="6" dataDxfId="5">
  <sortState xmlns:xlrd2="http://schemas.microsoft.com/office/spreadsheetml/2017/richdata2" ref="A2:E441">
    <sortCondition descending="1" ref="D2:D441"/>
  </sortState>
  <tableColumns count="5">
    <tableColumn id="1" xr3:uid="{00000000-0010-0000-0000-000001000000}" name="Code" dataDxfId="4">
      <calculatedColumnFormula>LEFT(B2,FIND(" ",B2,1))</calculatedColumnFormula>
    </tableColumn>
    <tableColumn id="2" xr3:uid="{00000000-0010-0000-0000-000002000000}" name="Project" dataDxfId="3"/>
    <tableColumn id="3" xr3:uid="{00000000-0010-0000-0000-000003000000}" name="Year to date" dataDxfId="2" dataCellStyle="Comma"/>
    <tableColumn id="4" xr3:uid="{00000000-0010-0000-0000-000004000000}" name="Column1" dataDxfId="1"/>
    <tableColumn id="5" xr3:uid="{00000000-0010-0000-0000-000005000000}" name="Column2" dataDxfId="0">
      <calculatedColumnFormula>XledgerData[[#This Row],[Column1]]+XledgerData[[#This Row],[Year to date]]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showGridLines="0" tabSelected="1" zoomScaleNormal="100" workbookViewId="0">
      <selection activeCell="E26" sqref="E26"/>
    </sheetView>
  </sheetViews>
  <sheetFormatPr defaultRowHeight="14" x14ac:dyDescent="0.3"/>
  <cols>
    <col min="1" max="1" width="22.58203125" bestFit="1" customWidth="1"/>
    <col min="2" max="2" width="14" bestFit="1" customWidth="1"/>
    <col min="3" max="3" width="14" style="7" customWidth="1"/>
    <col min="4" max="4" width="15.33203125" style="7" bestFit="1" customWidth="1"/>
    <col min="5" max="5" width="15.58203125" customWidth="1"/>
    <col min="6" max="6" width="15" bestFit="1" customWidth="1"/>
    <col min="7" max="7" width="18.08203125" style="4" customWidth="1"/>
    <col min="8" max="8" width="17.75" style="4" customWidth="1"/>
    <col min="9" max="9" width="9" hidden="1" customWidth="1"/>
    <col min="10" max="10" width="2.33203125" hidden="1" customWidth="1"/>
    <col min="11" max="11" width="14.5" hidden="1" customWidth="1"/>
    <col min="12" max="12" width="9" hidden="1" customWidth="1"/>
    <col min="13" max="13" width="9" customWidth="1"/>
    <col min="14" max="14" width="18.5" bestFit="1" customWidth="1"/>
    <col min="15" max="15" width="12" bestFit="1" customWidth="1"/>
  </cols>
  <sheetData>
    <row r="1" spans="1:14" s="2" customFormat="1" ht="22.5" x14ac:dyDescent="0.45">
      <c r="A1" s="663" t="s">
        <v>1656</v>
      </c>
      <c r="B1" s="663"/>
      <c r="C1" s="663"/>
      <c r="D1" s="663"/>
      <c r="E1" s="663"/>
      <c r="F1" s="37"/>
      <c r="G1" s="38"/>
      <c r="H1" s="38"/>
      <c r="I1" s="37"/>
      <c r="J1" s="37"/>
      <c r="K1" s="37"/>
      <c r="L1" s="37"/>
      <c r="M1" s="37"/>
      <c r="N1" s="37"/>
    </row>
    <row r="2" spans="1:14" x14ac:dyDescent="0.3">
      <c r="A2" s="39"/>
      <c r="B2" s="39"/>
      <c r="C2" s="39"/>
      <c r="D2" s="39"/>
      <c r="E2" s="39"/>
      <c r="F2" s="39"/>
      <c r="G2" s="40"/>
      <c r="H2" s="40"/>
      <c r="I2" s="39">
        <f>MONTH(Period)</f>
        <v>8</v>
      </c>
      <c r="J2" s="39"/>
      <c r="K2" s="39" t="s">
        <v>548</v>
      </c>
      <c r="L2" s="40">
        <f>ROUND((1/12*I2),4)</f>
        <v>0.66669999999999996</v>
      </c>
      <c r="M2" s="39"/>
      <c r="N2" s="39"/>
    </row>
    <row r="3" spans="1:14" s="1" customFormat="1" ht="17.5" x14ac:dyDescent="0.35">
      <c r="A3" s="662" t="s">
        <v>26</v>
      </c>
      <c r="B3" s="662"/>
      <c r="C3" s="660">
        <v>44804</v>
      </c>
      <c r="D3" s="660"/>
      <c r="E3" s="371"/>
      <c r="F3" s="371"/>
      <c r="G3" s="372"/>
      <c r="H3" s="372"/>
      <c r="I3" s="41"/>
      <c r="J3" s="41"/>
      <c r="K3" s="39" t="s">
        <v>549</v>
      </c>
      <c r="L3" s="40">
        <f>ROUND((1/12*($I$2-1)),4)</f>
        <v>0.58330000000000004</v>
      </c>
      <c r="M3" s="41"/>
      <c r="N3" s="39"/>
    </row>
    <row r="4" spans="1:14" ht="14.5" thickBot="1" x14ac:dyDescent="0.35">
      <c r="A4" s="39"/>
      <c r="B4" s="39"/>
      <c r="C4" s="39"/>
      <c r="D4" s="39"/>
      <c r="E4" s="39"/>
      <c r="F4" s="39"/>
      <c r="G4" s="40"/>
      <c r="H4" s="40"/>
      <c r="I4" s="39"/>
      <c r="J4" s="39"/>
      <c r="K4" s="40" t="s">
        <v>550</v>
      </c>
      <c r="L4" s="40">
        <f>ROUND((1/12*($I$2-2)),4)</f>
        <v>0.5</v>
      </c>
      <c r="M4" s="39"/>
      <c r="N4" s="39"/>
    </row>
    <row r="5" spans="1:14" s="3" customFormat="1" ht="28.5" customHeight="1" thickBot="1" x14ac:dyDescent="0.35">
      <c r="A5" s="60" t="s">
        <v>0</v>
      </c>
      <c r="B5" s="62" t="s">
        <v>1</v>
      </c>
      <c r="C5" s="63" t="s">
        <v>608</v>
      </c>
      <c r="D5" s="62" t="s">
        <v>605</v>
      </c>
      <c r="E5" s="62" t="s">
        <v>2</v>
      </c>
      <c r="F5" s="62" t="s">
        <v>3</v>
      </c>
      <c r="G5" s="64" t="s">
        <v>1377</v>
      </c>
      <c r="H5" s="61" t="s">
        <v>1504</v>
      </c>
      <c r="I5" s="42"/>
      <c r="J5" s="42"/>
      <c r="K5" s="43" t="s">
        <v>551</v>
      </c>
      <c r="L5" s="40">
        <f>ROUND((1/12*($I$2-3)),4)</f>
        <v>0.41670000000000001</v>
      </c>
      <c r="M5" s="42"/>
      <c r="N5" s="42"/>
    </row>
    <row r="6" spans="1:14" ht="6" customHeight="1" x14ac:dyDescent="0.3">
      <c r="A6" s="39"/>
      <c r="B6" s="386"/>
      <c r="C6" s="386"/>
      <c r="D6" s="386"/>
      <c r="E6" s="386"/>
      <c r="F6" s="386"/>
      <c r="G6" s="387"/>
      <c r="H6" s="387"/>
      <c r="I6" s="39"/>
      <c r="J6" s="39"/>
      <c r="K6" s="39"/>
      <c r="L6" s="39"/>
      <c r="M6" s="39"/>
      <c r="N6" s="39"/>
    </row>
    <row r="7" spans="1:14" x14ac:dyDescent="0.3">
      <c r="A7" s="388" t="s">
        <v>6</v>
      </c>
      <c r="B7" s="389">
        <f>Clare!D49</f>
        <v>272098</v>
      </c>
      <c r="C7" s="389">
        <f>Clare!D10</f>
        <v>0</v>
      </c>
      <c r="D7" s="389">
        <f t="shared" ref="D7:D14" si="0">SUM(B7:C7)</f>
        <v>272098</v>
      </c>
      <c r="E7" s="389">
        <f>Clare!E49</f>
        <v>119029</v>
      </c>
      <c r="F7" s="389">
        <f t="shared" ref="F7:F14" si="1">D7-E7</f>
        <v>153069</v>
      </c>
      <c r="G7" s="390">
        <f t="shared" ref="G7:G14" si="2">E7/D7</f>
        <v>0.43744900734294262</v>
      </c>
      <c r="H7" s="391">
        <f t="shared" ref="H7:H14" si="3">E7/B7</f>
        <v>0.43744900734294262</v>
      </c>
      <c r="I7" s="39"/>
      <c r="J7" s="39"/>
      <c r="K7" s="39"/>
      <c r="L7" s="39"/>
      <c r="M7" s="39"/>
      <c r="N7" s="39"/>
    </row>
    <row r="8" spans="1:14" s="7" customFormat="1" x14ac:dyDescent="0.3">
      <c r="A8" s="127" t="s">
        <v>1634</v>
      </c>
      <c r="B8" s="51">
        <f>'Gipping Valley'!D76</f>
        <v>633145</v>
      </c>
      <c r="C8" s="51">
        <f>'Gipping Valley'!D12+'Gipping Valley'!D67</f>
        <v>0</v>
      </c>
      <c r="D8" s="51">
        <f t="shared" si="0"/>
        <v>633145</v>
      </c>
      <c r="E8" s="51">
        <f>'Gipping Valley'!E76</f>
        <v>317458</v>
      </c>
      <c r="F8" s="51">
        <f t="shared" si="1"/>
        <v>315687</v>
      </c>
      <c r="G8" s="92">
        <f t="shared" si="2"/>
        <v>0.50139857378641539</v>
      </c>
      <c r="H8" s="93">
        <f t="shared" si="3"/>
        <v>0.50139857378641539</v>
      </c>
      <c r="I8" s="39"/>
      <c r="J8" s="39"/>
      <c r="K8" s="39"/>
      <c r="L8" s="39"/>
      <c r="M8" s="39"/>
      <c r="N8" s="39"/>
    </row>
    <row r="9" spans="1:14" x14ac:dyDescent="0.3">
      <c r="A9" s="127" t="s">
        <v>7</v>
      </c>
      <c r="B9" s="51">
        <f>Hadleigh!D46</f>
        <v>295226</v>
      </c>
      <c r="C9" s="51">
        <v>0</v>
      </c>
      <c r="D9" s="51">
        <f t="shared" si="0"/>
        <v>295226</v>
      </c>
      <c r="E9" s="51">
        <f>Hadleigh!E46</f>
        <v>178545</v>
      </c>
      <c r="F9" s="51">
        <f t="shared" si="1"/>
        <v>116681</v>
      </c>
      <c r="G9" s="92">
        <f t="shared" si="2"/>
        <v>0.60477396977231002</v>
      </c>
      <c r="H9" s="93">
        <f t="shared" si="3"/>
        <v>0.60477396977231002</v>
      </c>
      <c r="I9" s="39"/>
      <c r="J9" s="39"/>
      <c r="K9" s="39"/>
      <c r="L9" s="39"/>
      <c r="M9" s="39"/>
      <c r="N9" s="39"/>
    </row>
    <row r="10" spans="1:14" x14ac:dyDescent="0.3">
      <c r="A10" s="127" t="s">
        <v>8</v>
      </c>
      <c r="B10" s="51">
        <f>Ixworth!D48</f>
        <v>249903</v>
      </c>
      <c r="C10" s="51">
        <v>0</v>
      </c>
      <c r="D10" s="51">
        <f t="shared" si="0"/>
        <v>249903</v>
      </c>
      <c r="E10" s="51">
        <f>Ixworth!E48</f>
        <v>112433</v>
      </c>
      <c r="F10" s="51">
        <f t="shared" si="1"/>
        <v>137470</v>
      </c>
      <c r="G10" s="92">
        <f t="shared" si="2"/>
        <v>0.44990656374673371</v>
      </c>
      <c r="H10" s="93">
        <f t="shared" si="3"/>
        <v>0.44990656374673371</v>
      </c>
      <c r="I10" s="39"/>
      <c r="J10" s="39"/>
      <c r="K10" s="39"/>
      <c r="L10" s="39"/>
      <c r="M10" s="39"/>
      <c r="N10" s="39"/>
    </row>
    <row r="11" spans="1:14" x14ac:dyDescent="0.3">
      <c r="A11" s="127" t="s">
        <v>9</v>
      </c>
      <c r="B11" s="51">
        <f>Lavenham!D55</f>
        <v>444335</v>
      </c>
      <c r="C11" s="51">
        <f>Lavenham!D45</f>
        <v>0</v>
      </c>
      <c r="D11" s="51">
        <f t="shared" si="0"/>
        <v>444335</v>
      </c>
      <c r="E11" s="51">
        <f>Lavenham!E55</f>
        <v>265743</v>
      </c>
      <c r="F11" s="51">
        <f t="shared" si="1"/>
        <v>178592</v>
      </c>
      <c r="G11" s="92">
        <f t="shared" si="2"/>
        <v>0.5980690244972825</v>
      </c>
      <c r="H11" s="93">
        <f t="shared" si="3"/>
        <v>0.5980690244972825</v>
      </c>
      <c r="I11" s="39"/>
      <c r="J11" s="39"/>
      <c r="K11" s="39"/>
      <c r="L11" s="39"/>
      <c r="M11" s="39"/>
      <c r="N11" s="39"/>
    </row>
    <row r="12" spans="1:14" x14ac:dyDescent="0.3">
      <c r="A12" s="127" t="s">
        <v>10</v>
      </c>
      <c r="B12" s="51">
        <f>Mildenhall!D50</f>
        <v>429266</v>
      </c>
      <c r="C12" s="51">
        <f>Mildenhall!D9+Mildenhall!D38+Mildenhall!D19</f>
        <v>0</v>
      </c>
      <c r="D12" s="51">
        <f t="shared" si="0"/>
        <v>429266</v>
      </c>
      <c r="E12" s="51">
        <f>Mildenhall!E50</f>
        <v>176255</v>
      </c>
      <c r="F12" s="51">
        <f t="shared" si="1"/>
        <v>253011</v>
      </c>
      <c r="G12" s="92">
        <f t="shared" si="2"/>
        <v>0.41059622704803084</v>
      </c>
      <c r="H12" s="93">
        <f t="shared" si="3"/>
        <v>0.41059622704803084</v>
      </c>
      <c r="I12" s="39"/>
      <c r="J12" s="39"/>
      <c r="K12" s="39"/>
      <c r="L12" s="39"/>
      <c r="M12" s="39"/>
      <c r="N12" s="39"/>
    </row>
    <row r="13" spans="1:14" x14ac:dyDescent="0.3">
      <c r="A13" s="127" t="s">
        <v>12</v>
      </c>
      <c r="B13" s="51">
        <f>Sudbury!D47</f>
        <v>428915</v>
      </c>
      <c r="C13" s="51">
        <f>Sudbury!D38+Sudbury!D34+Sudbury!D30+Sudbury!D10</f>
        <v>0</v>
      </c>
      <c r="D13" s="51">
        <f t="shared" si="0"/>
        <v>428915</v>
      </c>
      <c r="E13" s="51">
        <f>Sudbury!E47</f>
        <v>186300</v>
      </c>
      <c r="F13" s="51">
        <f t="shared" si="1"/>
        <v>242615</v>
      </c>
      <c r="G13" s="92">
        <f t="shared" si="2"/>
        <v>0.43435179464462653</v>
      </c>
      <c r="H13" s="93">
        <f t="shared" si="3"/>
        <v>0.43435179464462653</v>
      </c>
      <c r="I13" s="39"/>
      <c r="J13" s="39"/>
      <c r="K13" s="39"/>
      <c r="L13" s="39"/>
      <c r="M13" s="39"/>
      <c r="N13" s="39"/>
    </row>
    <row r="14" spans="1:14" x14ac:dyDescent="0.3">
      <c r="A14" s="127" t="s">
        <v>13</v>
      </c>
      <c r="B14" s="51">
        <f>Thingoe!D56-Thingoe!D54</f>
        <v>538582</v>
      </c>
      <c r="C14" s="51">
        <f>Thingoe!D54</f>
        <v>-25000</v>
      </c>
      <c r="D14" s="51">
        <f t="shared" si="0"/>
        <v>513582</v>
      </c>
      <c r="E14" s="51">
        <f>Thingoe!E56</f>
        <v>344411</v>
      </c>
      <c r="F14" s="51">
        <f t="shared" si="1"/>
        <v>169171</v>
      </c>
      <c r="G14" s="92">
        <f t="shared" si="2"/>
        <v>0.67060566764411522</v>
      </c>
      <c r="H14" s="93">
        <f t="shared" si="3"/>
        <v>0.63947736834873803</v>
      </c>
      <c r="I14" s="39"/>
      <c r="J14" s="39"/>
      <c r="K14" s="39"/>
      <c r="L14" s="39"/>
      <c r="M14" s="39"/>
      <c r="N14" s="39"/>
    </row>
    <row r="15" spans="1:14" ht="6.75" customHeight="1" x14ac:dyDescent="0.3">
      <c r="A15" s="392"/>
      <c r="B15" s="392"/>
      <c r="C15" s="392"/>
      <c r="D15" s="392"/>
      <c r="E15" s="392"/>
      <c r="F15" s="392"/>
      <c r="G15" s="393"/>
      <c r="H15" s="394"/>
      <c r="I15" s="39"/>
      <c r="J15" s="39"/>
      <c r="K15" s="39"/>
      <c r="L15" s="39"/>
      <c r="M15" s="39"/>
      <c r="N15" s="39"/>
    </row>
    <row r="16" spans="1:14" s="3" customFormat="1" ht="14.5" thickBot="1" x14ac:dyDescent="0.35">
      <c r="A16" s="65" t="s">
        <v>14</v>
      </c>
      <c r="B16" s="66">
        <f>SUM(B7:B14)</f>
        <v>3291470</v>
      </c>
      <c r="C16" s="66">
        <f>SUM(C7:C15)</f>
        <v>-25000</v>
      </c>
      <c r="D16" s="66">
        <f>SUM(B16:C16)</f>
        <v>3266470</v>
      </c>
      <c r="E16" s="66">
        <f>SUM(E7:E14)</f>
        <v>1700174</v>
      </c>
      <c r="F16" s="66">
        <f>D16-E16</f>
        <v>1566296</v>
      </c>
      <c r="G16" s="94">
        <f>E16/D16</f>
        <v>0.52049276436030334</v>
      </c>
      <c r="H16" s="95">
        <f>E16/B16</f>
        <v>0.51653941855766572</v>
      </c>
      <c r="I16" s="42"/>
      <c r="J16" s="42"/>
      <c r="K16" s="42"/>
      <c r="L16" s="42"/>
      <c r="M16" s="42"/>
      <c r="N16" s="42"/>
    </row>
    <row r="17" spans="1:14" ht="8.25" customHeight="1" x14ac:dyDescent="0.3">
      <c r="A17" s="55"/>
      <c r="B17" s="51"/>
      <c r="C17" s="51"/>
      <c r="D17" s="51"/>
      <c r="E17" s="51"/>
      <c r="F17" s="51"/>
      <c r="G17" s="48"/>
      <c r="H17" s="44"/>
      <c r="I17" s="39"/>
      <c r="J17" s="39"/>
      <c r="K17" s="39"/>
      <c r="L17" s="39"/>
      <c r="M17" s="39"/>
      <c r="N17" s="39"/>
    </row>
    <row r="18" spans="1:14" x14ac:dyDescent="0.3">
      <c r="A18" s="127" t="s">
        <v>15</v>
      </c>
      <c r="B18" s="51">
        <f>Colneys!D38</f>
        <v>478909</v>
      </c>
      <c r="C18" s="51">
        <v>0</v>
      </c>
      <c r="D18" s="51">
        <f>SUM(B18:C18)</f>
        <v>478909</v>
      </c>
      <c r="E18" s="51">
        <f>Colneys!E38</f>
        <v>289297</v>
      </c>
      <c r="F18" s="51">
        <f>D18-E18</f>
        <v>189612</v>
      </c>
      <c r="G18" s="92">
        <f>E18/D18</f>
        <v>0.60407509568623685</v>
      </c>
      <c r="H18" s="93">
        <f>E18/B18</f>
        <v>0.60407509568623685</v>
      </c>
      <c r="I18" s="39"/>
      <c r="J18" s="39"/>
      <c r="K18" s="39"/>
      <c r="L18" s="39"/>
      <c r="M18" s="39"/>
      <c r="N18" s="39"/>
    </row>
    <row r="19" spans="1:14" x14ac:dyDescent="0.3">
      <c r="A19" s="127" t="s">
        <v>1642</v>
      </c>
      <c r="B19" s="51">
        <f>'Hartismere &amp; Hoxne'!D64</f>
        <v>414130</v>
      </c>
      <c r="C19" s="51">
        <v>0</v>
      </c>
      <c r="D19" s="51">
        <f t="shared" ref="D19:D24" si="4">SUM(B19:C19)</f>
        <v>414130</v>
      </c>
      <c r="E19" s="51">
        <f>'Hartismere &amp; Hoxne'!E64</f>
        <v>148299</v>
      </c>
      <c r="F19" s="51">
        <f t="shared" ref="F19:F24" si="5">D19-E19</f>
        <v>265831</v>
      </c>
      <c r="G19" s="92">
        <f t="shared" ref="G19:G24" si="6">E19/D19</f>
        <v>0.35809769879023495</v>
      </c>
      <c r="H19" s="93">
        <f t="shared" ref="H19:H24" si="7">E19/B19</f>
        <v>0.35809769879023495</v>
      </c>
      <c r="I19" s="39"/>
      <c r="J19" s="39"/>
      <c r="K19" s="39"/>
      <c r="L19" s="39"/>
      <c r="M19" s="39"/>
      <c r="N19" s="39"/>
    </row>
    <row r="20" spans="1:14" x14ac:dyDescent="0.3">
      <c r="A20" s="127" t="s">
        <v>19</v>
      </c>
      <c r="B20" s="51">
        <f>Loes!D55</f>
        <v>352456</v>
      </c>
      <c r="C20" s="51">
        <f>Loes!D20</f>
        <v>0</v>
      </c>
      <c r="D20" s="51">
        <f t="shared" si="4"/>
        <v>352456</v>
      </c>
      <c r="E20" s="51">
        <f>Loes!E55</f>
        <v>170755</v>
      </c>
      <c r="F20" s="51">
        <f t="shared" si="5"/>
        <v>181701</v>
      </c>
      <c r="G20" s="92">
        <f t="shared" si="6"/>
        <v>0.48447182059604604</v>
      </c>
      <c r="H20" s="93">
        <f t="shared" si="7"/>
        <v>0.48447182059604604</v>
      </c>
      <c r="I20" s="39"/>
      <c r="J20" s="39"/>
      <c r="K20" s="39"/>
      <c r="L20" s="39"/>
      <c r="M20" s="39"/>
      <c r="N20" s="39"/>
    </row>
    <row r="21" spans="1:14" x14ac:dyDescent="0.3">
      <c r="A21" s="127" t="s">
        <v>20</v>
      </c>
      <c r="B21" s="51">
        <f>Samford!D37</f>
        <v>306454</v>
      </c>
      <c r="C21" s="51">
        <v>0</v>
      </c>
      <c r="D21" s="51">
        <f t="shared" si="4"/>
        <v>306454</v>
      </c>
      <c r="E21" s="51">
        <f>Samford!E37</f>
        <v>131645</v>
      </c>
      <c r="F21" s="51">
        <f t="shared" si="5"/>
        <v>174809</v>
      </c>
      <c r="G21" s="92">
        <f t="shared" si="6"/>
        <v>0.42957507488889035</v>
      </c>
      <c r="H21" s="93">
        <f t="shared" si="7"/>
        <v>0.42957507488889035</v>
      </c>
      <c r="I21" s="39"/>
      <c r="J21" s="39"/>
      <c r="K21" s="39"/>
      <c r="L21" s="39"/>
      <c r="M21" s="39"/>
      <c r="N21" s="39"/>
    </row>
    <row r="22" spans="1:14" x14ac:dyDescent="0.3">
      <c r="A22" s="127" t="s">
        <v>21</v>
      </c>
      <c r="B22" s="51">
        <f>Saxmundham!D41</f>
        <v>350396</v>
      </c>
      <c r="C22" s="51">
        <f>Saxmundham!D25</f>
        <v>0</v>
      </c>
      <c r="D22" s="51">
        <f t="shared" si="4"/>
        <v>350396</v>
      </c>
      <c r="E22" s="51">
        <f>Saxmundham!E41</f>
        <v>158213</v>
      </c>
      <c r="F22" s="51">
        <f t="shared" si="5"/>
        <v>192183</v>
      </c>
      <c r="G22" s="92">
        <f t="shared" si="6"/>
        <v>0.45152627313097182</v>
      </c>
      <c r="H22" s="93">
        <f t="shared" si="7"/>
        <v>0.45152627313097182</v>
      </c>
      <c r="I22" s="39"/>
      <c r="J22" s="39"/>
      <c r="K22" s="39"/>
      <c r="L22" s="39"/>
      <c r="M22" s="39"/>
      <c r="N22" s="39"/>
    </row>
    <row r="23" spans="1:14" x14ac:dyDescent="0.3">
      <c r="A23" s="127" t="s">
        <v>22</v>
      </c>
      <c r="B23" s="51">
        <f>'Waveney &amp; Blyth'!D80</f>
        <v>481928</v>
      </c>
      <c r="C23" s="51">
        <v>0</v>
      </c>
      <c r="D23" s="51">
        <f t="shared" si="4"/>
        <v>481928</v>
      </c>
      <c r="E23" s="51">
        <f>'Waveney &amp; Blyth'!E80</f>
        <v>271603</v>
      </c>
      <c r="F23" s="51">
        <f t="shared" si="5"/>
        <v>210325</v>
      </c>
      <c r="G23" s="92">
        <f t="shared" si="6"/>
        <v>0.56357588685446791</v>
      </c>
      <c r="H23" s="93">
        <f t="shared" si="7"/>
        <v>0.56357588685446791</v>
      </c>
      <c r="I23" s="39"/>
      <c r="J23" s="39"/>
      <c r="K23" s="39"/>
      <c r="L23" s="39"/>
      <c r="M23" s="39"/>
      <c r="N23" s="39"/>
    </row>
    <row r="24" spans="1:14" x14ac:dyDescent="0.3">
      <c r="A24" s="127" t="s">
        <v>23</v>
      </c>
      <c r="B24" s="51">
        <f>Woodbridge!D54</f>
        <v>473227</v>
      </c>
      <c r="C24" s="51">
        <v>0</v>
      </c>
      <c r="D24" s="51">
        <f t="shared" si="4"/>
        <v>473227</v>
      </c>
      <c r="E24" s="51">
        <f>Woodbridge!E54</f>
        <v>292840</v>
      </c>
      <c r="F24" s="51">
        <f t="shared" si="5"/>
        <v>180387</v>
      </c>
      <c r="G24" s="92">
        <f t="shared" si="6"/>
        <v>0.61881507183656048</v>
      </c>
      <c r="H24" s="93">
        <f t="shared" si="7"/>
        <v>0.61881507183656048</v>
      </c>
      <c r="I24" s="39"/>
      <c r="J24" s="39"/>
      <c r="K24" s="39"/>
      <c r="L24" s="39"/>
      <c r="M24" s="39"/>
      <c r="N24" s="39"/>
    </row>
    <row r="25" spans="1:14" ht="7.5" customHeight="1" x14ac:dyDescent="0.3">
      <c r="A25" s="392"/>
      <c r="B25" s="392"/>
      <c r="C25" s="392"/>
      <c r="D25" s="392"/>
      <c r="E25" s="392"/>
      <c r="F25" s="392"/>
      <c r="G25" s="393"/>
      <c r="H25" s="394"/>
      <c r="I25" s="39"/>
      <c r="J25" s="39"/>
      <c r="K25" s="39"/>
      <c r="L25" s="39"/>
      <c r="M25" s="39"/>
      <c r="N25" s="39"/>
    </row>
    <row r="26" spans="1:14" s="3" customFormat="1" ht="14.5" thickBot="1" x14ac:dyDescent="0.35">
      <c r="A26" s="65" t="s">
        <v>24</v>
      </c>
      <c r="B26" s="66">
        <f>SUM(B18:B24)</f>
        <v>2857500</v>
      </c>
      <c r="C26" s="66">
        <f>SUM(C18:C25)</f>
        <v>0</v>
      </c>
      <c r="D26" s="66">
        <f>SUM(B26:C26)</f>
        <v>2857500</v>
      </c>
      <c r="E26" s="66">
        <f>SUM(E18:E24)</f>
        <v>1462652</v>
      </c>
      <c r="F26" s="66">
        <f>D26-E26</f>
        <v>1394848</v>
      </c>
      <c r="G26" s="94">
        <f>E26/D26</f>
        <v>0.51186421697287843</v>
      </c>
      <c r="H26" s="95">
        <f>E26/B26</f>
        <v>0.51186421697287843</v>
      </c>
      <c r="I26" s="42"/>
      <c r="J26" s="42"/>
      <c r="K26" s="42"/>
      <c r="L26" s="42"/>
      <c r="M26" s="42"/>
      <c r="N26" s="42"/>
    </row>
    <row r="27" spans="1:14" s="3" customFormat="1" x14ac:dyDescent="0.3">
      <c r="A27" s="56"/>
      <c r="B27" s="53"/>
      <c r="C27" s="53"/>
      <c r="D27" s="53"/>
      <c r="E27" s="53"/>
      <c r="F27" s="53"/>
      <c r="G27" s="50"/>
      <c r="H27" s="46"/>
      <c r="I27" s="42"/>
      <c r="J27" s="42"/>
      <c r="K27" s="42"/>
      <c r="L27" s="42"/>
      <c r="M27" s="42"/>
      <c r="N27" s="42"/>
    </row>
    <row r="28" spans="1:14" s="3" customFormat="1" x14ac:dyDescent="0.3">
      <c r="A28" s="395" t="s">
        <v>18</v>
      </c>
      <c r="B28" s="100">
        <f>Ipswich!D52</f>
        <v>851373</v>
      </c>
      <c r="C28" s="396">
        <f>Ipswich!D44+Ipswich!D34+Ipswich!D30</f>
        <v>-20000</v>
      </c>
      <c r="D28" s="396">
        <f>SUM(B28:C28)</f>
        <v>831373</v>
      </c>
      <c r="E28" s="396">
        <f>Ipswich!E56</f>
        <v>406828</v>
      </c>
      <c r="F28" s="396">
        <f>D28-E28</f>
        <v>424545</v>
      </c>
      <c r="G28" s="397">
        <f>E28/D28</f>
        <v>0.48934473455356381</v>
      </c>
      <c r="H28" s="398">
        <f>E28/B28</f>
        <v>0.4778493092921669</v>
      </c>
      <c r="I28" s="42"/>
      <c r="J28" s="42"/>
      <c r="K28" s="42"/>
      <c r="L28" s="42"/>
      <c r="M28" s="42"/>
      <c r="N28" s="42"/>
    </row>
    <row r="29" spans="1:14" s="3" customFormat="1" ht="9" customHeight="1" x14ac:dyDescent="0.3">
      <c r="A29" s="52"/>
      <c r="B29" s="52"/>
      <c r="C29" s="52"/>
      <c r="D29" s="52"/>
      <c r="E29" s="52"/>
      <c r="F29" s="52"/>
      <c r="G29" s="49"/>
      <c r="H29" s="45"/>
      <c r="I29" s="42"/>
      <c r="J29" s="42"/>
      <c r="K29" s="42"/>
      <c r="L29" s="42"/>
      <c r="M29" s="42"/>
      <c r="N29" s="42"/>
    </row>
    <row r="30" spans="1:14" ht="17.25" customHeight="1" thickBot="1" x14ac:dyDescent="0.35">
      <c r="A30" s="65" t="s">
        <v>1455</v>
      </c>
      <c r="B30" s="66">
        <f>B28</f>
        <v>851373</v>
      </c>
      <c r="C30" s="66">
        <f>C28</f>
        <v>-20000</v>
      </c>
      <c r="D30" s="66">
        <f>SUM(B30:C30)</f>
        <v>831373</v>
      </c>
      <c r="E30" s="66">
        <f>E28</f>
        <v>406828</v>
      </c>
      <c r="F30" s="66">
        <f>F28</f>
        <v>424545</v>
      </c>
      <c r="G30" s="94">
        <f>G28</f>
        <v>0.48934473455356381</v>
      </c>
      <c r="H30" s="95">
        <f>H28</f>
        <v>0.4778493092921669</v>
      </c>
      <c r="I30" s="39"/>
      <c r="J30" s="39"/>
      <c r="K30" s="39"/>
      <c r="L30" s="39"/>
      <c r="M30" s="39"/>
      <c r="N30" s="39"/>
    </row>
    <row r="31" spans="1:14" s="7" customFormat="1" ht="6.75" customHeight="1" x14ac:dyDescent="0.3">
      <c r="A31" s="55"/>
      <c r="B31" s="51"/>
      <c r="C31" s="51"/>
      <c r="D31" s="51"/>
      <c r="E31" s="51"/>
      <c r="F31" s="51"/>
      <c r="G31" s="48"/>
      <c r="H31" s="44"/>
      <c r="I31" s="39"/>
      <c r="J31" s="39"/>
      <c r="K31" s="39"/>
      <c r="L31" s="39"/>
      <c r="M31" s="39"/>
      <c r="N31" s="39"/>
    </row>
    <row r="32" spans="1:14" x14ac:dyDescent="0.3">
      <c r="A32" s="55" t="s">
        <v>25</v>
      </c>
      <c r="B32" s="51"/>
      <c r="C32" s="51"/>
      <c r="D32" s="51"/>
      <c r="E32" s="51"/>
      <c r="F32" s="51"/>
      <c r="G32" s="48"/>
      <c r="H32" s="44"/>
      <c r="I32" s="39"/>
      <c r="J32" s="39"/>
      <c r="K32" s="39"/>
      <c r="L32" s="39"/>
      <c r="M32" s="39"/>
      <c r="N32" s="39"/>
    </row>
    <row r="33" spans="1:15" ht="6" customHeight="1" x14ac:dyDescent="0.3">
      <c r="A33" s="55"/>
      <c r="B33" s="51"/>
      <c r="C33" s="51"/>
      <c r="D33" s="51"/>
      <c r="E33" s="51"/>
      <c r="F33" s="51"/>
      <c r="G33" s="48"/>
      <c r="H33" s="44"/>
      <c r="I33" s="39"/>
      <c r="J33" s="39"/>
      <c r="K33" s="39"/>
      <c r="L33" s="39"/>
      <c r="M33" s="39"/>
      <c r="N33" s="39"/>
    </row>
    <row r="34" spans="1:15" ht="6.75" customHeight="1" x14ac:dyDescent="0.3">
      <c r="A34" s="59"/>
      <c r="B34" s="51"/>
      <c r="C34" s="51"/>
      <c r="D34" s="51"/>
      <c r="E34" s="51"/>
      <c r="F34" s="51"/>
      <c r="G34" s="48"/>
      <c r="H34" s="44"/>
      <c r="I34" s="39"/>
      <c r="J34" s="39"/>
      <c r="K34" s="39"/>
      <c r="L34" s="39"/>
      <c r="M34" s="39"/>
      <c r="N34" s="39"/>
    </row>
    <row r="35" spans="1:15" s="3" customFormat="1" ht="14.5" thickBot="1" x14ac:dyDescent="0.35">
      <c r="A35" s="57">
        <f>C3</f>
        <v>44804</v>
      </c>
      <c r="B35" s="54">
        <f>SUM(B16,B26,B32,B30)</f>
        <v>7000343</v>
      </c>
      <c r="C35" s="54">
        <f>SUM(C16,C26,C32,C30)</f>
        <v>-45000</v>
      </c>
      <c r="D35" s="54">
        <f>SUM(D16,D26,D32,D30)</f>
        <v>6955343</v>
      </c>
      <c r="E35" s="54">
        <f>SUM(E16,E26,E32,E30)</f>
        <v>3569654</v>
      </c>
      <c r="F35" s="54">
        <f>SUM(F16,F26,F32,F30)</f>
        <v>3385689</v>
      </c>
      <c r="G35" s="96">
        <f>E35/D35</f>
        <v>0.51322472522203433</v>
      </c>
      <c r="H35" s="97">
        <f>E35/B35</f>
        <v>0.50992558507490271</v>
      </c>
      <c r="I35" s="42"/>
      <c r="J35" s="42"/>
      <c r="K35" s="42"/>
      <c r="L35" s="42"/>
      <c r="M35" s="42"/>
      <c r="N35" s="47"/>
      <c r="O35" s="27"/>
    </row>
    <row r="36" spans="1:15" ht="20.25" customHeight="1" thickTop="1" x14ac:dyDescent="0.3">
      <c r="A36" s="58"/>
      <c r="B36" s="51"/>
      <c r="C36" s="51"/>
      <c r="D36" s="51"/>
      <c r="E36" s="51"/>
      <c r="F36" s="51"/>
      <c r="G36" s="48"/>
      <c r="H36" s="44"/>
      <c r="I36" s="39"/>
      <c r="J36" s="39"/>
      <c r="K36" s="39"/>
      <c r="L36" s="39"/>
      <c r="M36" s="39"/>
      <c r="N36" s="39"/>
    </row>
    <row r="37" spans="1:15" s="3" customFormat="1" ht="15" customHeight="1" thickBot="1" x14ac:dyDescent="0.35">
      <c r="A37" s="376">
        <v>44439</v>
      </c>
      <c r="B37" s="377">
        <v>7000024</v>
      </c>
      <c r="C37" s="378">
        <v>-370490</v>
      </c>
      <c r="D37" s="378">
        <f>B37+C37</f>
        <v>6629534</v>
      </c>
      <c r="E37" s="377">
        <f>[2]Summary!$C$53</f>
        <v>3485628</v>
      </c>
      <c r="F37" s="377">
        <f>D37-E37</f>
        <v>3143906</v>
      </c>
      <c r="G37" s="379">
        <f>E37/D37</f>
        <v>0.52577270136935716</v>
      </c>
      <c r="H37" s="380">
        <f>E37/B37</f>
        <v>0.49794514990234318</v>
      </c>
      <c r="I37" s="42"/>
      <c r="J37" s="42"/>
      <c r="K37" s="42"/>
      <c r="L37" s="42"/>
      <c r="M37" s="42"/>
      <c r="N37" s="42"/>
      <c r="O37" s="27"/>
    </row>
    <row r="38" spans="1:15" ht="6.75" customHeight="1" thickTop="1" x14ac:dyDescent="0.3">
      <c r="A38" s="58"/>
      <c r="B38" s="51"/>
      <c r="C38" s="51"/>
      <c r="D38" s="51"/>
      <c r="E38" s="51"/>
      <c r="F38" s="51"/>
      <c r="G38" s="48"/>
      <c r="H38" s="44"/>
      <c r="I38" s="39"/>
      <c r="J38" s="39"/>
      <c r="K38" s="39"/>
      <c r="L38" s="39"/>
      <c r="M38" s="39"/>
      <c r="N38" s="39"/>
    </row>
    <row r="39" spans="1:15" s="7" customFormat="1" ht="15" customHeight="1" thickBot="1" x14ac:dyDescent="0.35">
      <c r="A39" s="376">
        <v>44074</v>
      </c>
      <c r="B39" s="377">
        <v>7216728</v>
      </c>
      <c r="C39" s="378">
        <v>-349953</v>
      </c>
      <c r="D39" s="378">
        <f>B39+C39</f>
        <v>6866775</v>
      </c>
      <c r="E39" s="377">
        <f>[2]Summary!$E$53</f>
        <v>3378342</v>
      </c>
      <c r="F39" s="377">
        <f>D39-E39</f>
        <v>3488433</v>
      </c>
      <c r="G39" s="379">
        <f>E39/D39</f>
        <v>0.49198379151785226</v>
      </c>
      <c r="H39" s="380">
        <f>E39/B39</f>
        <v>0.46812655264269348</v>
      </c>
      <c r="I39" s="39"/>
      <c r="J39" s="39"/>
      <c r="K39" s="39"/>
      <c r="L39" s="39"/>
      <c r="M39" s="39"/>
      <c r="N39" s="39"/>
    </row>
    <row r="40" spans="1:15" s="7" customFormat="1" ht="6.75" customHeight="1" thickTop="1" x14ac:dyDescent="0.3">
      <c r="A40" s="58"/>
      <c r="B40" s="51"/>
      <c r="C40" s="51"/>
      <c r="D40" s="51"/>
      <c r="E40" s="51"/>
      <c r="F40" s="51"/>
      <c r="G40" s="48"/>
      <c r="H40" s="44"/>
      <c r="I40" s="39"/>
      <c r="J40" s="39"/>
      <c r="K40" s="39"/>
      <c r="L40" s="39"/>
      <c r="M40" s="39"/>
      <c r="N40" s="39"/>
    </row>
    <row r="41" spans="1:15" s="7" customFormat="1" ht="15" customHeight="1" thickBot="1" x14ac:dyDescent="0.35">
      <c r="A41" s="376">
        <v>43708</v>
      </c>
      <c r="B41" s="381">
        <v>7194483</v>
      </c>
      <c r="C41" s="382">
        <v>-446911</v>
      </c>
      <c r="D41" s="378">
        <f>B41+C41</f>
        <v>6747572</v>
      </c>
      <c r="E41" s="381">
        <f>[2]Summary!$F$53</f>
        <v>3908209</v>
      </c>
      <c r="F41" s="377">
        <f>D41-E41</f>
        <v>2839363</v>
      </c>
      <c r="G41" s="379">
        <f>E41/D41</f>
        <v>0.57920226712660494</v>
      </c>
      <c r="H41" s="380">
        <f>E41/B41</f>
        <v>0.54322305021778494</v>
      </c>
      <c r="I41" s="39"/>
      <c r="J41" s="39"/>
      <c r="K41" s="39"/>
      <c r="L41" s="39"/>
      <c r="M41" s="39"/>
      <c r="N41" s="39"/>
    </row>
    <row r="42" spans="1:15" ht="14.5" thickTop="1" x14ac:dyDescent="0.3">
      <c r="A42" s="39"/>
      <c r="B42" s="39"/>
      <c r="C42" s="39"/>
      <c r="D42" s="39"/>
      <c r="E42" s="187"/>
      <c r="F42" s="188" t="s">
        <v>1591</v>
      </c>
      <c r="G42" s="189"/>
      <c r="H42" s="189"/>
      <c r="I42" s="188"/>
      <c r="J42" s="188"/>
      <c r="K42" s="188"/>
      <c r="L42" s="188"/>
      <c r="M42" s="188"/>
      <c r="N42" s="188"/>
    </row>
    <row r="43" spans="1:15" x14ac:dyDescent="0.3">
      <c r="A43" s="39" t="s">
        <v>27</v>
      </c>
      <c r="B43" s="661" t="s">
        <v>1661</v>
      </c>
      <c r="C43" s="661"/>
      <c r="D43" s="661"/>
      <c r="E43" s="661"/>
      <c r="F43" s="188"/>
      <c r="G43" s="189"/>
      <c r="H43" s="189"/>
      <c r="I43" s="188"/>
      <c r="J43" s="188"/>
      <c r="K43" s="188"/>
      <c r="L43" s="188"/>
      <c r="M43" s="188"/>
      <c r="N43" s="188"/>
    </row>
    <row r="44" spans="1:15" x14ac:dyDescent="0.3">
      <c r="A44" s="39"/>
      <c r="B44" s="39"/>
      <c r="C44" s="39"/>
      <c r="D44" s="209"/>
      <c r="E44" s="187"/>
      <c r="F44" s="210"/>
      <c r="G44" s="211"/>
      <c r="H44" s="189"/>
      <c r="I44" s="188"/>
      <c r="J44" s="188"/>
      <c r="K44" s="188"/>
      <c r="L44" s="188"/>
      <c r="M44" s="188"/>
      <c r="N44" s="188"/>
    </row>
    <row r="45" spans="1:15" x14ac:dyDescent="0.3">
      <c r="F45" s="101"/>
      <c r="G45" s="102"/>
      <c r="H45" s="40"/>
      <c r="I45" s="39"/>
      <c r="J45" s="39"/>
      <c r="K45" s="39"/>
      <c r="L45" s="39"/>
      <c r="M45" s="39"/>
      <c r="N45" s="39"/>
    </row>
    <row r="46" spans="1:15" x14ac:dyDescent="0.3">
      <c r="A46" s="39"/>
      <c r="B46" s="39"/>
      <c r="C46" s="39"/>
      <c r="D46" s="210"/>
      <c r="E46" s="210"/>
      <c r="F46" s="210"/>
      <c r="G46" s="211"/>
      <c r="H46" s="189"/>
      <c r="I46" s="188"/>
      <c r="J46" s="188"/>
      <c r="K46" s="188"/>
      <c r="L46" s="188"/>
      <c r="M46" s="188"/>
      <c r="N46" s="188"/>
    </row>
    <row r="47" spans="1:15" x14ac:dyDescent="0.3">
      <c r="A47" s="39"/>
      <c r="B47" s="39"/>
      <c r="C47" s="39"/>
      <c r="D47" s="212"/>
      <c r="E47" s="210"/>
      <c r="F47" s="210"/>
      <c r="G47" s="211"/>
      <c r="H47" s="189"/>
      <c r="I47" s="188"/>
      <c r="J47" s="188"/>
      <c r="K47" s="188"/>
      <c r="L47" s="188"/>
      <c r="M47" s="188"/>
      <c r="N47" s="188"/>
    </row>
    <row r="48" spans="1:15" s="7" customFormat="1" x14ac:dyDescent="0.3">
      <c r="A48" s="39"/>
      <c r="B48" s="39"/>
      <c r="C48" s="39"/>
      <c r="D48" s="212"/>
      <c r="E48" s="187"/>
      <c r="F48" s="210"/>
      <c r="G48" s="211"/>
      <c r="H48" s="189"/>
      <c r="I48" s="188"/>
      <c r="J48" s="188"/>
      <c r="K48" s="188"/>
      <c r="L48" s="188"/>
      <c r="M48" s="188"/>
      <c r="N48" s="188"/>
    </row>
    <row r="49" spans="1:14" s="7" customFormat="1" x14ac:dyDescent="0.3">
      <c r="A49" s="39"/>
      <c r="B49" s="39"/>
      <c r="C49" s="39"/>
      <c r="D49" s="212"/>
      <c r="E49" s="210"/>
      <c r="F49" s="210"/>
      <c r="G49" s="211"/>
      <c r="H49" s="189"/>
      <c r="I49" s="188"/>
      <c r="J49" s="188"/>
      <c r="K49" s="188"/>
      <c r="L49" s="188"/>
      <c r="M49" s="188"/>
      <c r="N49" s="188"/>
    </row>
    <row r="50" spans="1:14" x14ac:dyDescent="0.3">
      <c r="D50" s="33"/>
      <c r="E50" s="213"/>
      <c r="F50" s="213"/>
      <c r="G50" s="211"/>
      <c r="H50" s="189"/>
      <c r="I50" s="188"/>
      <c r="J50" s="188"/>
      <c r="K50" s="188"/>
      <c r="L50" s="188"/>
      <c r="M50" s="188"/>
      <c r="N50" s="188"/>
    </row>
    <row r="51" spans="1:14" x14ac:dyDescent="0.3">
      <c r="D51" s="33"/>
    </row>
    <row r="52" spans="1:14" x14ac:dyDescent="0.3">
      <c r="D52" s="33"/>
      <c r="E52" s="210"/>
      <c r="F52" s="210"/>
      <c r="G52" s="211"/>
      <c r="H52" s="189"/>
      <c r="I52" s="188"/>
      <c r="J52" s="188"/>
      <c r="K52" s="188"/>
      <c r="L52" s="188"/>
      <c r="M52" s="188"/>
      <c r="N52" s="188"/>
    </row>
    <row r="53" spans="1:14" x14ac:dyDescent="0.3">
      <c r="D53" s="33"/>
      <c r="E53" s="187"/>
      <c r="F53" s="210"/>
      <c r="G53" s="211"/>
      <c r="H53" s="189"/>
      <c r="I53" s="188"/>
      <c r="J53" s="188"/>
      <c r="K53" s="188"/>
      <c r="L53" s="188"/>
      <c r="M53" s="188"/>
      <c r="N53" s="188"/>
    </row>
    <row r="54" spans="1:14" x14ac:dyDescent="0.3">
      <c r="D54" s="33"/>
      <c r="E54" s="210"/>
      <c r="F54" s="210"/>
      <c r="G54" s="211"/>
      <c r="H54" s="211"/>
      <c r="I54" s="188"/>
      <c r="J54" s="188"/>
      <c r="K54" s="188"/>
      <c r="L54" s="188"/>
      <c r="M54" s="188"/>
      <c r="N54" s="188"/>
    </row>
    <row r="55" spans="1:14" x14ac:dyDescent="0.3">
      <c r="E55" s="33"/>
      <c r="F55" s="33"/>
      <c r="G55" s="214"/>
      <c r="H55" s="214"/>
    </row>
    <row r="56" spans="1:14" x14ac:dyDescent="0.3">
      <c r="E56" s="33"/>
      <c r="F56" s="33"/>
      <c r="G56" s="214"/>
      <c r="H56" s="214"/>
    </row>
    <row r="57" spans="1:14" x14ac:dyDescent="0.3">
      <c r="E57" s="33"/>
      <c r="F57" s="33"/>
      <c r="G57" s="214"/>
      <c r="H57" s="214"/>
    </row>
    <row r="58" spans="1:14" x14ac:dyDescent="0.3">
      <c r="E58" s="33"/>
      <c r="F58" s="33"/>
      <c r="G58" s="214"/>
      <c r="H58" s="214"/>
    </row>
    <row r="59" spans="1:14" x14ac:dyDescent="0.3">
      <c r="E59" s="33"/>
      <c r="F59" s="33"/>
      <c r="G59" s="214"/>
      <c r="H59" s="214"/>
    </row>
    <row r="60" spans="1:14" x14ac:dyDescent="0.3">
      <c r="E60" s="33"/>
      <c r="F60" s="33"/>
      <c r="G60" s="214"/>
      <c r="H60" s="214"/>
    </row>
    <row r="61" spans="1:14" x14ac:dyDescent="0.3">
      <c r="E61" s="33"/>
      <c r="F61" s="33"/>
      <c r="G61" s="214"/>
      <c r="H61" s="214"/>
    </row>
    <row r="62" spans="1:14" x14ac:dyDescent="0.3">
      <c r="E62" s="33"/>
      <c r="F62" s="33"/>
      <c r="G62" s="214"/>
      <c r="H62" s="214"/>
    </row>
  </sheetData>
  <mergeCells count="4">
    <mergeCell ref="C3:D3"/>
    <mergeCell ref="B43:E43"/>
    <mergeCell ref="A3:B3"/>
    <mergeCell ref="A1:E1"/>
  </mergeCells>
  <hyperlinks>
    <hyperlink ref="A7" location="Clare!A1" tooltip="Clare Deanery" display="Clare" xr:uid="{00000000-0004-0000-0000-000000000000}"/>
    <hyperlink ref="A9" location="Hadleigh!A1" tooltip="Hadleigh Deanery" display="Hadleigh" xr:uid="{00000000-0004-0000-0000-000001000000}"/>
    <hyperlink ref="A10" location="Ixworth!A1" tooltip="Ixworth Deanery" display="Ixworth" xr:uid="{00000000-0004-0000-0000-000002000000}"/>
    <hyperlink ref="A11" location="Lavenham!A1" tooltip="Lavenham Deanery" display="Lavenham" xr:uid="{00000000-0004-0000-0000-000003000000}"/>
    <hyperlink ref="A12" location="Mildenhall!A1" tooltip="Mildenhall Deanery" display="Mildenhall" xr:uid="{00000000-0004-0000-0000-000004000000}"/>
    <hyperlink ref="A13" location="Sudbury!A1" tooltip="Sudbury Deaney" display="Sudbury" xr:uid="{00000000-0004-0000-0000-000005000000}"/>
    <hyperlink ref="A14" location="Thingoe!A1" tooltip="Thingoe Deanery" display="Thingoe" xr:uid="{00000000-0004-0000-0000-000006000000}"/>
    <hyperlink ref="A18" location="Colneys!A1" tooltip="Colneys Deanery" display="Colneys" xr:uid="{00000000-0004-0000-0000-000007000000}"/>
    <hyperlink ref="A19" location="Hartismere!A1" tooltip="Hartismere Deanery" display="Hartismere" xr:uid="{00000000-0004-0000-0000-000008000000}"/>
    <hyperlink ref="A28" location="Ipswich!A1" tooltip="Ipswich Deanery" display="Ipswich" xr:uid="{00000000-0004-0000-0000-000009000000}"/>
    <hyperlink ref="A20" location="Loes!A1" tooltip="Loes Deanery" display="Loes" xr:uid="{00000000-0004-0000-0000-00000A000000}"/>
    <hyperlink ref="A21" location="Samford!A1" tooltip="Samford Deanery" display="Samford" xr:uid="{00000000-0004-0000-0000-00000B000000}"/>
    <hyperlink ref="A22" location="Saxmundham!A1" tooltip="Saxmundham Deanery" display="Saxmundham" xr:uid="{00000000-0004-0000-0000-00000C000000}"/>
    <hyperlink ref="A23" location="'Waveney &amp; Blyth'!A1" tooltip="Waveney &amp; Blyth Deanery" display="Waveney &amp; Blyth" xr:uid="{00000000-0004-0000-0000-00000D000000}"/>
    <hyperlink ref="A24" location="Woodbridge!A1" tooltip="Woodbridge Deanery" display="Woodbridg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&amp;L&amp;D&amp;R&amp;Z&amp;F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P50"/>
  <sheetViews>
    <sheetView topLeftCell="A38" zoomScaleNormal="100" workbookViewId="0">
      <selection activeCell="B38" sqref="B38:G38"/>
    </sheetView>
  </sheetViews>
  <sheetFormatPr defaultColWidth="8.58203125" defaultRowHeight="14" x14ac:dyDescent="0.3"/>
  <cols>
    <col min="1" max="1" width="2.75" style="33" customWidth="1"/>
    <col min="2" max="2" width="10.83203125" style="33" bestFit="1" customWidth="1"/>
    <col min="3" max="3" width="46" style="33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19.08203125" style="33" hidden="1" customWidth="1"/>
    <col min="12" max="12" width="9" style="33" hidden="1" customWidth="1"/>
    <col min="13" max="13" width="1.75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8" width="9" style="33" customWidth="1"/>
    <col min="19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COUNTIF(H8:H44,"&gt;1")</f>
        <v>0</v>
      </c>
    </row>
    <row r="4" spans="2:16" s="32" customFormat="1" ht="23" thickBot="1" x14ac:dyDescent="0.5">
      <c r="B4" s="413"/>
      <c r="C4" s="406" t="s">
        <v>119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COUNTIF(H8:H46,1)</f>
        <v>0</v>
      </c>
    </row>
    <row r="5" spans="2:16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1</v>
      </c>
    </row>
    <row r="6" spans="2:16" s="32" customFormat="1" ht="14.5" thickBot="1" x14ac:dyDescent="0.35">
      <c r="B6" s="418" t="s">
        <v>592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3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422"/>
      <c r="C7" s="424"/>
      <c r="D7" s="424"/>
      <c r="E7" s="424"/>
      <c r="F7" s="424"/>
      <c r="G7" s="454"/>
      <c r="K7" s="33" t="s">
        <v>547</v>
      </c>
      <c r="L7" s="33">
        <v>0</v>
      </c>
    </row>
    <row r="8" spans="2:16" x14ac:dyDescent="0.3">
      <c r="B8" s="367" t="s">
        <v>921</v>
      </c>
      <c r="C8" s="365" t="s">
        <v>120</v>
      </c>
      <c r="D8" s="368">
        <f>[3]Ixworth!$I$8</f>
        <v>9010</v>
      </c>
      <c r="E8" s="368">
        <f>[2]Ixworth!$D8</f>
        <v>2253</v>
      </c>
      <c r="F8" s="368">
        <f>D8-E8</f>
        <v>6757</v>
      </c>
      <c r="G8" s="366">
        <f>ROUND((E8/D8),4)</f>
        <v>0.25009999999999999</v>
      </c>
      <c r="H8" s="462"/>
      <c r="L8" s="33">
        <f>SUM(L3:L7)</f>
        <v>4</v>
      </c>
      <c r="N8" s="33" t="s">
        <v>1369</v>
      </c>
      <c r="O8" s="33" t="s">
        <v>1366</v>
      </c>
      <c r="P8" s="33" t="s">
        <v>1368</v>
      </c>
    </row>
    <row r="9" spans="2:16" x14ac:dyDescent="0.3">
      <c r="B9" s="367" t="s">
        <v>922</v>
      </c>
      <c r="C9" s="365" t="s">
        <v>121</v>
      </c>
      <c r="D9" s="368">
        <f>[3]Ixworth!$I$9</f>
        <v>8610</v>
      </c>
      <c r="E9" s="368">
        <f>[2]Ixworth!$D9</f>
        <v>4305</v>
      </c>
      <c r="F9" s="368">
        <f t="shared" ref="F9:F35" si="0">D9-E9</f>
        <v>4305</v>
      </c>
      <c r="G9" s="366">
        <f t="shared" ref="G9:G48" si="1">ROUND((E9/D9),4)</f>
        <v>0.5</v>
      </c>
      <c r="H9" s="462"/>
      <c r="N9" s="33" t="s">
        <v>1369</v>
      </c>
      <c r="O9" s="33" t="s">
        <v>1366</v>
      </c>
      <c r="P9" s="33" t="s">
        <v>1371</v>
      </c>
    </row>
    <row r="10" spans="2:16" x14ac:dyDescent="0.3">
      <c r="B10" s="367" t="s">
        <v>923</v>
      </c>
      <c r="C10" s="365" t="s">
        <v>122</v>
      </c>
      <c r="D10" s="368">
        <f>[3]Ixworth!$I$10</f>
        <v>2860</v>
      </c>
      <c r="E10" s="368">
        <f>[2]Ixworth!$D10</f>
        <v>500</v>
      </c>
      <c r="F10" s="368">
        <f t="shared" si="0"/>
        <v>2360</v>
      </c>
      <c r="G10" s="366">
        <f t="shared" si="1"/>
        <v>0.17480000000000001</v>
      </c>
      <c r="H10" s="462"/>
    </row>
    <row r="11" spans="2:16" x14ac:dyDescent="0.3">
      <c r="B11" s="367" t="s">
        <v>924</v>
      </c>
      <c r="C11" s="365" t="s">
        <v>123</v>
      </c>
      <c r="D11" s="368">
        <f>[3]Ixworth!$I$11</f>
        <v>28637</v>
      </c>
      <c r="E11" s="368">
        <f>[2]Ixworth!$D11</f>
        <v>14318</v>
      </c>
      <c r="F11" s="368">
        <f t="shared" si="0"/>
        <v>14319</v>
      </c>
      <c r="G11" s="366">
        <f t="shared" si="1"/>
        <v>0.5</v>
      </c>
      <c r="H11" s="462"/>
      <c r="N11" s="33" t="s">
        <v>1369</v>
      </c>
      <c r="O11" s="33" t="s">
        <v>1366</v>
      </c>
      <c r="P11" s="33" t="s">
        <v>1368</v>
      </c>
    </row>
    <row r="12" spans="2:16" x14ac:dyDescent="0.3">
      <c r="B12" s="367" t="s">
        <v>925</v>
      </c>
      <c r="C12" s="365" t="s">
        <v>124</v>
      </c>
      <c r="D12" s="368">
        <f>[3]Ixworth!$I$12</f>
        <v>4960</v>
      </c>
      <c r="E12" s="368">
        <f>[2]Ixworth!$D12</f>
        <v>2000</v>
      </c>
      <c r="F12" s="368">
        <f t="shared" si="0"/>
        <v>2960</v>
      </c>
      <c r="G12" s="366">
        <f t="shared" si="1"/>
        <v>0.4032</v>
      </c>
      <c r="H12" s="462"/>
      <c r="N12" s="33" t="s">
        <v>1369</v>
      </c>
      <c r="O12" s="33" t="s">
        <v>1366</v>
      </c>
      <c r="P12" s="33" t="s">
        <v>1371</v>
      </c>
    </row>
    <row r="13" spans="2:16" x14ac:dyDescent="0.3">
      <c r="B13" s="367" t="s">
        <v>926</v>
      </c>
      <c r="C13" s="365" t="s">
        <v>125</v>
      </c>
      <c r="D13" s="368">
        <f>[3]Ixworth!$I$13</f>
        <v>6603</v>
      </c>
      <c r="E13" s="368">
        <f>[2]Ixworth!$D13</f>
        <v>4000</v>
      </c>
      <c r="F13" s="368">
        <f t="shared" si="0"/>
        <v>2603</v>
      </c>
      <c r="G13" s="366">
        <f t="shared" si="1"/>
        <v>0.60580000000000001</v>
      </c>
      <c r="H13" s="462"/>
      <c r="N13" s="33" t="s">
        <v>1369</v>
      </c>
      <c r="O13" s="33" t="s">
        <v>1366</v>
      </c>
      <c r="P13" s="33" t="s">
        <v>1371</v>
      </c>
    </row>
    <row r="14" spans="2:16" x14ac:dyDescent="0.3">
      <c r="B14" s="373" t="s">
        <v>927</v>
      </c>
      <c r="C14" s="384" t="s">
        <v>425</v>
      </c>
      <c r="D14" s="368">
        <v>0</v>
      </c>
      <c r="E14" s="368">
        <f>[2]Ixworth!$D14</f>
        <v>0</v>
      </c>
      <c r="F14" s="369">
        <f t="shared" si="0"/>
        <v>0</v>
      </c>
      <c r="G14" s="456"/>
      <c r="H14" s="462"/>
    </row>
    <row r="15" spans="2:16" s="32" customFormat="1" ht="14.5" thickBot="1" x14ac:dyDescent="0.35">
      <c r="B15" s="301" t="s">
        <v>927</v>
      </c>
      <c r="C15" s="302" t="s">
        <v>126</v>
      </c>
      <c r="D15" s="363">
        <f>SUM(D8:D14)</f>
        <v>60680</v>
      </c>
      <c r="E15" s="363">
        <f>SUM(E8:E14)</f>
        <v>27376</v>
      </c>
      <c r="F15" s="363">
        <f t="shared" si="0"/>
        <v>33304</v>
      </c>
      <c r="G15" s="403">
        <f t="shared" si="1"/>
        <v>0.45119999999999999</v>
      </c>
      <c r="H15" s="455">
        <f t="shared" ref="H15:H46" si="2">G15</f>
        <v>0.45119999999999999</v>
      </c>
    </row>
    <row r="16" spans="2:16" x14ac:dyDescent="0.3">
      <c r="B16" s="429"/>
      <c r="C16" s="459"/>
      <c r="D16" s="431"/>
      <c r="E16" s="431"/>
      <c r="F16" s="431"/>
      <c r="G16" s="461"/>
      <c r="H16" s="462"/>
    </row>
    <row r="17" spans="2:16" x14ac:dyDescent="0.3">
      <c r="B17" s="367" t="s">
        <v>928</v>
      </c>
      <c r="C17" s="365" t="s">
        <v>127</v>
      </c>
      <c r="D17" s="368">
        <f>[3]Ixworth!$I$17</f>
        <v>5500</v>
      </c>
      <c r="E17" s="368">
        <f>[2]Ixworth!$D17</f>
        <v>1450</v>
      </c>
      <c r="F17" s="368">
        <f t="shared" si="0"/>
        <v>4050</v>
      </c>
      <c r="G17" s="366">
        <f t="shared" si="1"/>
        <v>0.2636</v>
      </c>
      <c r="H17" s="462"/>
      <c r="N17" s="33" t="s">
        <v>1369</v>
      </c>
      <c r="O17" s="33" t="s">
        <v>1370</v>
      </c>
      <c r="P17" s="33" t="s">
        <v>1367</v>
      </c>
    </row>
    <row r="18" spans="2:16" x14ac:dyDescent="0.3">
      <c r="B18" s="367" t="s">
        <v>929</v>
      </c>
      <c r="C18" s="365" t="s">
        <v>128</v>
      </c>
      <c r="D18" s="368">
        <f>[3]Ixworth!$I$18</f>
        <v>8000</v>
      </c>
      <c r="E18" s="368">
        <f>[2]Ixworth!$D18</f>
        <v>6000</v>
      </c>
      <c r="F18" s="368">
        <f t="shared" si="0"/>
        <v>2000</v>
      </c>
      <c r="G18" s="366">
        <f t="shared" si="1"/>
        <v>0.75</v>
      </c>
      <c r="H18" s="462"/>
      <c r="N18" s="33" t="s">
        <v>1369</v>
      </c>
      <c r="O18" s="33" t="s">
        <v>1366</v>
      </c>
      <c r="P18" s="33" t="s">
        <v>1368</v>
      </c>
    </row>
    <row r="19" spans="2:16" x14ac:dyDescent="0.3">
      <c r="B19" s="367" t="s">
        <v>930</v>
      </c>
      <c r="C19" s="365" t="s">
        <v>129</v>
      </c>
      <c r="D19" s="368">
        <f>[3]Ixworth!$I$19</f>
        <v>4500</v>
      </c>
      <c r="E19" s="368">
        <f>[2]Ixworth!$D19</f>
        <v>3500</v>
      </c>
      <c r="F19" s="368">
        <f t="shared" si="0"/>
        <v>1000</v>
      </c>
      <c r="G19" s="366">
        <f t="shared" si="1"/>
        <v>0.77780000000000005</v>
      </c>
      <c r="H19" s="462"/>
      <c r="N19" s="33" t="s">
        <v>1365</v>
      </c>
      <c r="O19" s="33" t="s">
        <v>1366</v>
      </c>
    </row>
    <row r="20" spans="2:16" x14ac:dyDescent="0.3">
      <c r="B20" s="635" t="s">
        <v>931</v>
      </c>
      <c r="C20" s="636" t="s">
        <v>130</v>
      </c>
      <c r="D20" s="637">
        <f>[3]Ixworth!$I$20</f>
        <v>1500</v>
      </c>
      <c r="E20" s="637">
        <f>[2]Ixworth!$D20</f>
        <v>0</v>
      </c>
      <c r="F20" s="637">
        <f t="shared" si="0"/>
        <v>1500</v>
      </c>
      <c r="G20" s="638">
        <f t="shared" si="1"/>
        <v>0</v>
      </c>
      <c r="H20" s="462"/>
    </row>
    <row r="21" spans="2:16" x14ac:dyDescent="0.3">
      <c r="B21" s="367" t="s">
        <v>932</v>
      </c>
      <c r="C21" s="365" t="s">
        <v>131</v>
      </c>
      <c r="D21" s="368">
        <f>[3]Ixworth!$I$21</f>
        <v>9500</v>
      </c>
      <c r="E21" s="368">
        <f>[2]Ixworth!$D21</f>
        <v>4500</v>
      </c>
      <c r="F21" s="368">
        <f t="shared" si="0"/>
        <v>5000</v>
      </c>
      <c r="G21" s="366">
        <f t="shared" si="1"/>
        <v>0.47370000000000001</v>
      </c>
      <c r="H21" s="462"/>
      <c r="N21" s="33" t="s">
        <v>1369</v>
      </c>
      <c r="O21" s="33" t="s">
        <v>1366</v>
      </c>
      <c r="P21" s="33" t="s">
        <v>1368</v>
      </c>
    </row>
    <row r="22" spans="2:16" x14ac:dyDescent="0.3">
      <c r="B22" s="367" t="s">
        <v>933</v>
      </c>
      <c r="C22" s="365" t="s">
        <v>132</v>
      </c>
      <c r="D22" s="368">
        <f>[3]Ixworth!$I$22</f>
        <v>13264</v>
      </c>
      <c r="E22" s="368">
        <f>[2]Ixworth!$D22</f>
        <v>11000</v>
      </c>
      <c r="F22" s="368">
        <f t="shared" si="0"/>
        <v>2264</v>
      </c>
      <c r="G22" s="366">
        <f t="shared" si="1"/>
        <v>0.82930000000000004</v>
      </c>
      <c r="H22" s="462"/>
      <c r="N22" s="33" t="s">
        <v>1365</v>
      </c>
      <c r="O22" s="33" t="s">
        <v>1366</v>
      </c>
      <c r="P22" s="33" t="s">
        <v>1368</v>
      </c>
    </row>
    <row r="23" spans="2:16" x14ac:dyDescent="0.3">
      <c r="B23" s="367" t="s">
        <v>934</v>
      </c>
      <c r="C23" s="365" t="s">
        <v>133</v>
      </c>
      <c r="D23" s="368">
        <f>[3]Ixworth!$I$23</f>
        <v>8200</v>
      </c>
      <c r="E23" s="368">
        <f>[2]Ixworth!$D23</f>
        <v>4000</v>
      </c>
      <c r="F23" s="368">
        <f t="shared" si="0"/>
        <v>4200</v>
      </c>
      <c r="G23" s="366">
        <f t="shared" si="1"/>
        <v>0.48780000000000001</v>
      </c>
      <c r="H23" s="462"/>
      <c r="N23" s="33" t="s">
        <v>1369</v>
      </c>
      <c r="O23" s="33" t="s">
        <v>1366</v>
      </c>
      <c r="P23" s="33" t="s">
        <v>1368</v>
      </c>
    </row>
    <row r="24" spans="2:16" x14ac:dyDescent="0.3">
      <c r="B24" s="367" t="s">
        <v>935</v>
      </c>
      <c r="C24" s="365" t="s">
        <v>134</v>
      </c>
      <c r="D24" s="368">
        <f>[3]Ixworth!$I$24</f>
        <v>3000</v>
      </c>
      <c r="E24" s="368">
        <f>[2]Ixworth!$D24</f>
        <v>2000</v>
      </c>
      <c r="F24" s="368">
        <f t="shared" si="0"/>
        <v>1000</v>
      </c>
      <c r="G24" s="366">
        <f t="shared" si="1"/>
        <v>0.66669999999999996</v>
      </c>
      <c r="H24" s="462"/>
      <c r="N24" s="33" t="s">
        <v>1369</v>
      </c>
      <c r="O24" s="33" t="s">
        <v>1366</v>
      </c>
    </row>
    <row r="25" spans="2:16" x14ac:dyDescent="0.3">
      <c r="B25" s="367"/>
      <c r="C25" s="435" t="s">
        <v>532</v>
      </c>
      <c r="D25" s="368">
        <f>[3]Ixworth!$I$25</f>
        <v>7000</v>
      </c>
      <c r="E25" s="368"/>
      <c r="F25" s="368">
        <f t="shared" si="0"/>
        <v>7000</v>
      </c>
      <c r="G25" s="366">
        <f t="shared" si="1"/>
        <v>0</v>
      </c>
      <c r="H25" s="462"/>
    </row>
    <row r="26" spans="2:16" s="32" customFormat="1" ht="14.5" thickBot="1" x14ac:dyDescent="0.35">
      <c r="B26" s="301" t="s">
        <v>936</v>
      </c>
      <c r="C26" s="302" t="s">
        <v>135</v>
      </c>
      <c r="D26" s="363">
        <f>SUM(D17:D25)</f>
        <v>60464</v>
      </c>
      <c r="E26" s="363">
        <f>SUM(E17:E25)</f>
        <v>32450</v>
      </c>
      <c r="F26" s="363">
        <f>D26-E26</f>
        <v>28014</v>
      </c>
      <c r="G26" s="403">
        <f t="shared" si="1"/>
        <v>0.53669999999999995</v>
      </c>
      <c r="H26" s="455">
        <f t="shared" si="2"/>
        <v>0.53669999999999995</v>
      </c>
    </row>
    <row r="27" spans="2:16" x14ac:dyDescent="0.3">
      <c r="B27" s="429"/>
      <c r="C27" s="459"/>
      <c r="D27" s="431"/>
      <c r="E27" s="431"/>
      <c r="F27" s="431"/>
      <c r="G27" s="461"/>
      <c r="H27" s="462"/>
    </row>
    <row r="28" spans="2:16" x14ac:dyDescent="0.3">
      <c r="B28" s="367" t="s">
        <v>937</v>
      </c>
      <c r="C28" s="365" t="s">
        <v>136</v>
      </c>
      <c r="D28" s="368">
        <f>[3]Ixworth!$I$28</f>
        <v>9600</v>
      </c>
      <c r="E28" s="368">
        <f>[2]Ixworth!$D27</f>
        <v>4444</v>
      </c>
      <c r="F28" s="368">
        <f t="shared" si="0"/>
        <v>5156</v>
      </c>
      <c r="G28" s="366">
        <f t="shared" si="1"/>
        <v>0.46289999999999998</v>
      </c>
      <c r="H28" s="462"/>
      <c r="N28" s="33" t="s">
        <v>1365</v>
      </c>
      <c r="O28" s="33" t="s">
        <v>1366</v>
      </c>
      <c r="P28" s="33" t="s">
        <v>1368</v>
      </c>
    </row>
    <row r="29" spans="2:16" x14ac:dyDescent="0.3">
      <c r="B29" s="644" t="s">
        <v>938</v>
      </c>
      <c r="C29" s="645" t="s">
        <v>137</v>
      </c>
      <c r="D29" s="642">
        <f>[3]Ixworth!$I$29</f>
        <v>2800</v>
      </c>
      <c r="E29" s="642">
        <f>[2]Ixworth!$D28</f>
        <v>2800</v>
      </c>
      <c r="F29" s="642">
        <f t="shared" si="0"/>
        <v>0</v>
      </c>
      <c r="G29" s="646">
        <f t="shared" si="1"/>
        <v>1</v>
      </c>
      <c r="H29" s="462"/>
      <c r="N29" s="33" t="s">
        <v>1369</v>
      </c>
      <c r="O29" s="33" t="s">
        <v>1366</v>
      </c>
      <c r="P29" s="33" t="s">
        <v>1368</v>
      </c>
    </row>
    <row r="30" spans="2:16" x14ac:dyDescent="0.3">
      <c r="B30" s="367" t="s">
        <v>939</v>
      </c>
      <c r="C30" s="365" t="s">
        <v>138</v>
      </c>
      <c r="D30" s="368">
        <f>[3]Ixworth!$I$30</f>
        <v>13000</v>
      </c>
      <c r="E30" s="368">
        <f>[2]Ixworth!$D29</f>
        <v>7000</v>
      </c>
      <c r="F30" s="368">
        <f t="shared" si="0"/>
        <v>6000</v>
      </c>
      <c r="G30" s="366">
        <f t="shared" si="1"/>
        <v>0.53849999999999998</v>
      </c>
      <c r="H30" s="462"/>
      <c r="N30" s="33" t="s">
        <v>1369</v>
      </c>
      <c r="O30" s="33" t="s">
        <v>1370</v>
      </c>
      <c r="P30" s="33" t="s">
        <v>1367</v>
      </c>
    </row>
    <row r="31" spans="2:16" x14ac:dyDescent="0.3">
      <c r="B31" s="367" t="s">
        <v>940</v>
      </c>
      <c r="C31" s="365" t="s">
        <v>139</v>
      </c>
      <c r="D31" s="368">
        <f>[3]Ixworth!$I$31</f>
        <v>20000</v>
      </c>
      <c r="E31" s="368">
        <f>[2]Ixworth!$D30</f>
        <v>10500</v>
      </c>
      <c r="F31" s="368">
        <f t="shared" si="0"/>
        <v>9500</v>
      </c>
      <c r="G31" s="366">
        <f t="shared" si="1"/>
        <v>0.52500000000000002</v>
      </c>
      <c r="H31" s="462"/>
      <c r="N31" s="33" t="s">
        <v>1365</v>
      </c>
      <c r="O31" s="33" t="s">
        <v>1366</v>
      </c>
      <c r="P31" s="33" t="s">
        <v>1367</v>
      </c>
    </row>
    <row r="32" spans="2:16" x14ac:dyDescent="0.3">
      <c r="B32" s="367" t="s">
        <v>941</v>
      </c>
      <c r="C32" s="365" t="s">
        <v>140</v>
      </c>
      <c r="D32" s="368">
        <f>[3]Ixworth!$I$32</f>
        <v>2000</v>
      </c>
      <c r="E32" s="368">
        <f>[2]Ixworth!$D31</f>
        <v>100</v>
      </c>
      <c r="F32" s="368">
        <f t="shared" si="0"/>
        <v>1900</v>
      </c>
      <c r="G32" s="366">
        <f t="shared" si="1"/>
        <v>0.05</v>
      </c>
      <c r="H32" s="462"/>
    </row>
    <row r="33" spans="2:16" x14ac:dyDescent="0.3">
      <c r="B33" s="367" t="s">
        <v>942</v>
      </c>
      <c r="C33" s="365" t="s">
        <v>141</v>
      </c>
      <c r="D33" s="368">
        <f>[3]Ixworth!$I$33</f>
        <v>13000</v>
      </c>
      <c r="E33" s="368">
        <f>[2]Ixworth!$D32</f>
        <v>4000</v>
      </c>
      <c r="F33" s="368">
        <f t="shared" si="0"/>
        <v>9000</v>
      </c>
      <c r="G33" s="366">
        <f t="shared" si="1"/>
        <v>0.30769999999999997</v>
      </c>
      <c r="H33" s="462"/>
      <c r="N33" s="33" t="s">
        <v>1365</v>
      </c>
      <c r="O33" s="33" t="s">
        <v>1366</v>
      </c>
    </row>
    <row r="34" spans="2:16" x14ac:dyDescent="0.3">
      <c r="B34" s="367"/>
      <c r="C34" s="435" t="s">
        <v>1637</v>
      </c>
      <c r="D34" s="368">
        <f>[3]Ixworth!$I$34</f>
        <v>3509</v>
      </c>
      <c r="E34" s="368"/>
      <c r="F34" s="368">
        <f t="shared" si="0"/>
        <v>3509</v>
      </c>
      <c r="G34" s="366">
        <f t="shared" si="1"/>
        <v>0</v>
      </c>
      <c r="H34" s="462"/>
    </row>
    <row r="35" spans="2:16" s="490" customFormat="1" ht="28.5" thickBot="1" x14ac:dyDescent="0.35">
      <c r="B35" s="472" t="s">
        <v>943</v>
      </c>
      <c r="C35" s="473" t="s">
        <v>593</v>
      </c>
      <c r="D35" s="474">
        <f>SUM(D28:D34)</f>
        <v>63909</v>
      </c>
      <c r="E35" s="474">
        <f>SUM(E28:E34)</f>
        <v>28844</v>
      </c>
      <c r="F35" s="474">
        <f t="shared" si="0"/>
        <v>35065</v>
      </c>
      <c r="G35" s="403">
        <f t="shared" si="1"/>
        <v>0.45129999999999998</v>
      </c>
      <c r="H35" s="491">
        <f t="shared" si="2"/>
        <v>0.45129999999999998</v>
      </c>
    </row>
    <row r="36" spans="2:16" x14ac:dyDescent="0.3">
      <c r="B36" s="429"/>
      <c r="C36" s="459"/>
      <c r="D36" s="431"/>
      <c r="E36" s="431"/>
      <c r="F36" s="431"/>
      <c r="G36" s="461"/>
      <c r="H36" s="462"/>
    </row>
    <row r="37" spans="2:16" x14ac:dyDescent="0.3">
      <c r="B37" s="367" t="s">
        <v>944</v>
      </c>
      <c r="C37" s="365" t="s">
        <v>142</v>
      </c>
      <c r="D37" s="368">
        <f>[3]Ixworth!$I$37</f>
        <v>9468</v>
      </c>
      <c r="E37" s="368">
        <f>[2]Ixworth!$D35</f>
        <v>4768</v>
      </c>
      <c r="F37" s="368">
        <f t="shared" ref="F37:F44" si="3">D37-E37</f>
        <v>4700</v>
      </c>
      <c r="G37" s="366">
        <f t="shared" ref="G37:G44" si="4">ROUND((E37/D37),4)</f>
        <v>0.50360000000000005</v>
      </c>
      <c r="H37" s="462"/>
      <c r="N37" s="33" t="s">
        <v>1372</v>
      </c>
      <c r="O37" s="33" t="s">
        <v>1370</v>
      </c>
      <c r="P37" s="33" t="s">
        <v>1367</v>
      </c>
    </row>
    <row r="38" spans="2:16" x14ac:dyDescent="0.3">
      <c r="B38" s="635" t="s">
        <v>945</v>
      </c>
      <c r="C38" s="636" t="s">
        <v>143</v>
      </c>
      <c r="D38" s="637">
        <f>[3]Ixworth!$I$38</f>
        <v>6420</v>
      </c>
      <c r="E38" s="637">
        <f>[2]Ixworth!$D36</f>
        <v>0</v>
      </c>
      <c r="F38" s="637">
        <f t="shared" si="3"/>
        <v>6420</v>
      </c>
      <c r="G38" s="638">
        <f t="shared" si="4"/>
        <v>0</v>
      </c>
      <c r="H38" s="462"/>
      <c r="N38" s="33" t="s">
        <v>1369</v>
      </c>
      <c r="O38" s="33" t="s">
        <v>1370</v>
      </c>
      <c r="P38" s="33" t="s">
        <v>1367</v>
      </c>
    </row>
    <row r="39" spans="2:16" x14ac:dyDescent="0.3">
      <c r="B39" s="367" t="s">
        <v>946</v>
      </c>
      <c r="C39" s="365" t="s">
        <v>144</v>
      </c>
      <c r="D39" s="368">
        <f>[3]Ixworth!$I$39</f>
        <v>5966</v>
      </c>
      <c r="E39" s="368">
        <f>[2]Ixworth!$D37</f>
        <v>1500</v>
      </c>
      <c r="F39" s="368">
        <f t="shared" si="3"/>
        <v>4466</v>
      </c>
      <c r="G39" s="366">
        <f t="shared" si="4"/>
        <v>0.25140000000000001</v>
      </c>
      <c r="H39" s="462"/>
    </row>
    <row r="40" spans="2:16" x14ac:dyDescent="0.3">
      <c r="B40" s="367" t="s">
        <v>947</v>
      </c>
      <c r="C40" s="365" t="s">
        <v>145</v>
      </c>
      <c r="D40" s="368">
        <f>[3]Ixworth!$I$40</f>
        <v>6031</v>
      </c>
      <c r="E40" s="368">
        <f>[2]Ixworth!$D38</f>
        <v>4000</v>
      </c>
      <c r="F40" s="368">
        <f t="shared" si="3"/>
        <v>2031</v>
      </c>
      <c r="G40" s="366">
        <f t="shared" si="4"/>
        <v>0.66320000000000001</v>
      </c>
      <c r="H40" s="462"/>
      <c r="N40" s="33" t="s">
        <v>1369</v>
      </c>
      <c r="O40" s="33" t="s">
        <v>1366</v>
      </c>
      <c r="P40" s="33" t="s">
        <v>1367</v>
      </c>
    </row>
    <row r="41" spans="2:16" x14ac:dyDescent="0.3">
      <c r="B41" s="367" t="s">
        <v>948</v>
      </c>
      <c r="C41" s="365" t="s">
        <v>146</v>
      </c>
      <c r="D41" s="368">
        <f>[3]Ixworth!$I$41</f>
        <v>8495</v>
      </c>
      <c r="E41" s="368">
        <f>[2]Ixworth!$D39</f>
        <v>6495</v>
      </c>
      <c r="F41" s="368">
        <f t="shared" si="3"/>
        <v>2000</v>
      </c>
      <c r="G41" s="366">
        <f t="shared" si="4"/>
        <v>0.76459999999999995</v>
      </c>
      <c r="H41" s="462"/>
      <c r="N41" s="33" t="s">
        <v>1365</v>
      </c>
      <c r="O41" s="33" t="s">
        <v>1366</v>
      </c>
      <c r="P41" s="33" t="s">
        <v>1368</v>
      </c>
    </row>
    <row r="42" spans="2:16" x14ac:dyDescent="0.3">
      <c r="B42" s="367" t="s">
        <v>949</v>
      </c>
      <c r="C42" s="365" t="s">
        <v>147</v>
      </c>
      <c r="D42" s="368">
        <f>[3]Ixworth!$I$42</f>
        <v>4864</v>
      </c>
      <c r="E42" s="368">
        <f>[2]Ixworth!$D40</f>
        <v>2000</v>
      </c>
      <c r="F42" s="368">
        <f t="shared" si="3"/>
        <v>2864</v>
      </c>
      <c r="G42" s="366">
        <f t="shared" si="4"/>
        <v>0.41120000000000001</v>
      </c>
      <c r="H42" s="462"/>
      <c r="N42" s="33" t="s">
        <v>1365</v>
      </c>
      <c r="O42" s="33" t="s">
        <v>1366</v>
      </c>
    </row>
    <row r="43" spans="2:16" x14ac:dyDescent="0.3">
      <c r="B43" s="367" t="s">
        <v>950</v>
      </c>
      <c r="C43" s="365" t="s">
        <v>148</v>
      </c>
      <c r="D43" s="368">
        <f>[3]Ixworth!$I$43</f>
        <v>19520</v>
      </c>
      <c r="E43" s="368">
        <f>[2]Ixworth!$D41</f>
        <v>4000</v>
      </c>
      <c r="F43" s="368">
        <f t="shared" si="3"/>
        <v>15520</v>
      </c>
      <c r="G43" s="366">
        <f t="shared" si="4"/>
        <v>0.2049</v>
      </c>
      <c r="H43" s="462"/>
      <c r="N43" s="33" t="s">
        <v>1369</v>
      </c>
      <c r="O43" s="33" t="s">
        <v>1370</v>
      </c>
      <c r="P43" s="33" t="s">
        <v>1367</v>
      </c>
    </row>
    <row r="44" spans="2:16" x14ac:dyDescent="0.3">
      <c r="B44" s="367" t="s">
        <v>951</v>
      </c>
      <c r="C44" s="365" t="s">
        <v>149</v>
      </c>
      <c r="D44" s="368">
        <f>[3]Ixworth!$I$44</f>
        <v>4086</v>
      </c>
      <c r="E44" s="368">
        <f>[2]Ixworth!$D42</f>
        <v>1000</v>
      </c>
      <c r="F44" s="368">
        <f t="shared" si="3"/>
        <v>3086</v>
      </c>
      <c r="G44" s="366">
        <f t="shared" si="4"/>
        <v>0.2447</v>
      </c>
      <c r="H44" s="462"/>
      <c r="N44" s="33" t="s">
        <v>1365</v>
      </c>
      <c r="O44" s="33" t="s">
        <v>1366</v>
      </c>
      <c r="P44" s="33" t="s">
        <v>1368</v>
      </c>
    </row>
    <row r="45" spans="2:16" x14ac:dyDescent="0.3">
      <c r="B45" s="373"/>
      <c r="C45" s="384"/>
      <c r="D45" s="369"/>
      <c r="E45" s="369"/>
      <c r="F45" s="369"/>
      <c r="G45" s="456"/>
      <c r="H45" s="462"/>
    </row>
    <row r="46" spans="2:16" s="494" customFormat="1" ht="43.5" customHeight="1" thickBot="1" x14ac:dyDescent="0.35">
      <c r="B46" s="500" t="s">
        <v>952</v>
      </c>
      <c r="C46" s="501" t="s">
        <v>1647</v>
      </c>
      <c r="D46" s="502">
        <f>SUM(D37:D45)</f>
        <v>64850</v>
      </c>
      <c r="E46" s="502">
        <f>SUM(E37:E44)</f>
        <v>23763</v>
      </c>
      <c r="F46" s="503">
        <f>D46-E46</f>
        <v>41087</v>
      </c>
      <c r="G46" s="504">
        <f t="shared" si="1"/>
        <v>0.3664</v>
      </c>
      <c r="H46" s="491">
        <f t="shared" si="2"/>
        <v>0.3664</v>
      </c>
    </row>
    <row r="47" spans="2:16" s="494" customFormat="1" ht="14.25" customHeight="1" x14ac:dyDescent="0.3">
      <c r="B47" s="505"/>
      <c r="C47" s="506"/>
      <c r="D47" s="507"/>
      <c r="E47" s="507"/>
      <c r="F47" s="508"/>
      <c r="G47" s="509"/>
    </row>
    <row r="48" spans="2:16" s="32" customFormat="1" ht="14.5" thickBot="1" x14ac:dyDescent="0.35">
      <c r="B48" s="442"/>
      <c r="C48" s="468" t="s">
        <v>57</v>
      </c>
      <c r="D48" s="370">
        <f>SUM(D46,D35,D26,D15,)</f>
        <v>249903</v>
      </c>
      <c r="E48" s="370">
        <f>SUM(E46,E35,E26,E15,)</f>
        <v>112433</v>
      </c>
      <c r="F48" s="370">
        <f>SUM(F46,F35,F26,F15,)</f>
        <v>137470</v>
      </c>
      <c r="G48" s="469">
        <f t="shared" si="1"/>
        <v>0.44990000000000002</v>
      </c>
    </row>
    <row r="49" spans="2:7" x14ac:dyDescent="0.3">
      <c r="B49" s="445"/>
      <c r="C49" s="471"/>
      <c r="D49" s="447"/>
      <c r="E49" s="447"/>
      <c r="F49" s="447"/>
      <c r="G49" s="454"/>
    </row>
    <row r="50" spans="2:7" ht="14.5" thickBot="1" x14ac:dyDescent="0.35">
      <c r="B50" s="510"/>
      <c r="C50" s="468" t="s">
        <v>1657</v>
      </c>
      <c r="D50" s="370">
        <f>[5]Summary!$D$10</f>
        <v>243791</v>
      </c>
      <c r="E50" s="370">
        <f>[6]Ixworth!$D$45</f>
        <v>108188</v>
      </c>
      <c r="F50" s="370">
        <f>D50-E50</f>
        <v>135603</v>
      </c>
      <c r="G50" s="469">
        <f>E50/D50</f>
        <v>0.44377356013962782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R59"/>
  <sheetViews>
    <sheetView topLeftCell="A41" zoomScaleNormal="100" workbookViewId="0">
      <selection activeCell="B40" sqref="B40:F43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48.75" style="33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19.08203125" style="33" hidden="1" customWidth="1"/>
    <col min="12" max="12" width="9" style="33" hidden="1" customWidth="1"/>
    <col min="13" max="13" width="2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28" width="9" style="33" customWidth="1"/>
    <col min="29" max="16384" width="8.58203125" style="33"/>
  </cols>
  <sheetData>
    <row r="1" spans="2:18" ht="14.5" thickBot="1" x14ac:dyDescent="0.35"/>
    <row r="2" spans="2:18" s="404" customFormat="1" ht="23" thickBot="1" x14ac:dyDescent="0.5">
      <c r="B2" s="405"/>
      <c r="C2" s="488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8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COUNTIF(H8:H51,"&gt;1")</f>
        <v>0</v>
      </c>
    </row>
    <row r="4" spans="2:18" s="32" customFormat="1" ht="18" thickBot="1" x14ac:dyDescent="0.4">
      <c r="B4" s="413"/>
      <c r="C4" s="414" t="s">
        <v>150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COUNTIF(H8:H51,1)</f>
        <v>0</v>
      </c>
    </row>
    <row r="5" spans="2:18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2</v>
      </c>
    </row>
    <row r="6" spans="2:18" s="32" customFormat="1" ht="14.5" thickBot="1" x14ac:dyDescent="0.35">
      <c r="B6" s="418" t="s">
        <v>592</v>
      </c>
      <c r="C6" s="511" t="s">
        <v>28</v>
      </c>
      <c r="D6" s="511" t="s">
        <v>1</v>
      </c>
      <c r="E6" s="511" t="s">
        <v>2</v>
      </c>
      <c r="F6" s="511" t="s">
        <v>3</v>
      </c>
      <c r="G6" s="421" t="s">
        <v>4</v>
      </c>
      <c r="H6" s="32" t="s">
        <v>552</v>
      </c>
      <c r="K6" s="33" t="s">
        <v>1539</v>
      </c>
      <c r="L6" s="33">
        <v>6</v>
      </c>
      <c r="N6" s="32" t="s">
        <v>1362</v>
      </c>
      <c r="O6" s="32" t="s">
        <v>1363</v>
      </c>
      <c r="P6" s="32" t="s">
        <v>1364</v>
      </c>
    </row>
    <row r="7" spans="2:18" x14ac:dyDescent="0.3">
      <c r="B7" s="422"/>
      <c r="C7" s="424"/>
      <c r="D7" s="424"/>
      <c r="E7" s="424"/>
      <c r="F7" s="424"/>
      <c r="G7" s="454"/>
      <c r="K7" s="33" t="s">
        <v>547</v>
      </c>
      <c r="L7" s="33">
        <v>0</v>
      </c>
    </row>
    <row r="8" spans="2:18" x14ac:dyDescent="0.3">
      <c r="B8" s="367" t="s">
        <v>986</v>
      </c>
      <c r="C8" s="365" t="s">
        <v>151</v>
      </c>
      <c r="D8" s="368">
        <f>[3]Lavenham!$I$8</f>
        <v>6882</v>
      </c>
      <c r="E8" s="368">
        <f>[2]Lavenham!$D8</f>
        <v>4413</v>
      </c>
      <c r="F8" s="368">
        <f>D8-E8</f>
        <v>2469</v>
      </c>
      <c r="G8" s="366">
        <f>ROUND((E8/D8),4)</f>
        <v>0.64119999999999999</v>
      </c>
      <c r="H8" s="462"/>
      <c r="L8" s="33">
        <f>SUM(L3:L7)</f>
        <v>8</v>
      </c>
      <c r="N8" s="33" t="s">
        <v>1369</v>
      </c>
      <c r="O8" s="33" t="s">
        <v>1370</v>
      </c>
      <c r="P8" s="33" t="s">
        <v>1368</v>
      </c>
    </row>
    <row r="9" spans="2:18" x14ac:dyDescent="0.3">
      <c r="B9" s="367" t="s">
        <v>954</v>
      </c>
      <c r="C9" s="365" t="s">
        <v>152</v>
      </c>
      <c r="D9" s="368">
        <f>[3]Lavenham!$I$9</f>
        <v>13763</v>
      </c>
      <c r="E9" s="368">
        <f>[2]Lavenham!$D9</f>
        <v>7908</v>
      </c>
      <c r="F9" s="368">
        <f t="shared" ref="F9:F55" si="0">D9-E9</f>
        <v>5855</v>
      </c>
      <c r="G9" s="366">
        <f t="shared" ref="G9:G55" si="1">ROUND((E9/D9),4)</f>
        <v>0.5746</v>
      </c>
      <c r="H9" s="462"/>
      <c r="N9" s="33" t="s">
        <v>1369</v>
      </c>
      <c r="O9" s="33" t="s">
        <v>1370</v>
      </c>
      <c r="P9" s="33" t="s">
        <v>1367</v>
      </c>
    </row>
    <row r="10" spans="2:18" x14ac:dyDescent="0.3">
      <c r="B10" s="367" t="s">
        <v>955</v>
      </c>
      <c r="C10" s="365" t="s">
        <v>153</v>
      </c>
      <c r="D10" s="368">
        <f>[3]Lavenham!$I$10</f>
        <v>33031</v>
      </c>
      <c r="E10" s="368">
        <f>[2]Lavenham!$D10</f>
        <v>19031</v>
      </c>
      <c r="F10" s="368">
        <f t="shared" si="0"/>
        <v>14000</v>
      </c>
      <c r="G10" s="366">
        <f t="shared" si="1"/>
        <v>0.57620000000000005</v>
      </c>
      <c r="H10" s="462"/>
      <c r="N10" s="33" t="s">
        <v>1374</v>
      </c>
      <c r="O10" s="33" t="s">
        <v>1366</v>
      </c>
      <c r="P10" s="33" t="s">
        <v>1367</v>
      </c>
    </row>
    <row r="11" spans="2:18" x14ac:dyDescent="0.3">
      <c r="B11" s="367" t="s">
        <v>956</v>
      </c>
      <c r="C11" s="365" t="s">
        <v>154</v>
      </c>
      <c r="D11" s="368">
        <f>[3]Lavenham!$I$11</f>
        <v>10322</v>
      </c>
      <c r="E11" s="368">
        <f>[2]Lavenham!$D11</f>
        <v>5880</v>
      </c>
      <c r="F11" s="368">
        <f t="shared" si="0"/>
        <v>4442</v>
      </c>
      <c r="G11" s="366">
        <f t="shared" si="1"/>
        <v>0.56969999999999998</v>
      </c>
      <c r="H11" s="462"/>
      <c r="N11" s="33" t="s">
        <v>1369</v>
      </c>
      <c r="O11" s="33" t="s">
        <v>1370</v>
      </c>
      <c r="P11" s="33" t="s">
        <v>1367</v>
      </c>
    </row>
    <row r="12" spans="2:18" x14ac:dyDescent="0.3">
      <c r="B12" s="367" t="s">
        <v>957</v>
      </c>
      <c r="C12" s="365" t="s">
        <v>155</v>
      </c>
      <c r="D12" s="368">
        <f>[3]Lavenham!$I$12</f>
        <v>4817</v>
      </c>
      <c r="E12" s="368">
        <f>[2]Lavenham!$D12</f>
        <v>2744</v>
      </c>
      <c r="F12" s="368">
        <f t="shared" si="0"/>
        <v>2073</v>
      </c>
      <c r="G12" s="366">
        <f t="shared" si="1"/>
        <v>0.5696</v>
      </c>
      <c r="H12" s="462"/>
      <c r="N12" s="33" t="s">
        <v>1369</v>
      </c>
      <c r="O12" s="33" t="s">
        <v>1370</v>
      </c>
      <c r="P12" s="33" t="s">
        <v>1367</v>
      </c>
    </row>
    <row r="13" spans="2:18" s="490" customFormat="1" ht="28.5" thickBot="1" x14ac:dyDescent="0.35">
      <c r="B13" s="472" t="s">
        <v>958</v>
      </c>
      <c r="C13" s="473" t="s">
        <v>156</v>
      </c>
      <c r="D13" s="474">
        <f>SUM(D8:D12)</f>
        <v>68815</v>
      </c>
      <c r="E13" s="474">
        <f>SUM(E8:E12)</f>
        <v>39976</v>
      </c>
      <c r="F13" s="474">
        <f t="shared" si="0"/>
        <v>28839</v>
      </c>
      <c r="G13" s="403">
        <f t="shared" si="1"/>
        <v>0.58089999999999997</v>
      </c>
      <c r="H13" s="491">
        <f t="shared" ref="H13:H51" si="2">G13</f>
        <v>0.58089999999999997</v>
      </c>
    </row>
    <row r="14" spans="2:18" x14ac:dyDescent="0.3">
      <c r="B14" s="373"/>
      <c r="C14" s="365"/>
      <c r="D14" s="431"/>
      <c r="E14" s="368"/>
      <c r="F14" s="368"/>
      <c r="G14" s="456"/>
      <c r="H14" s="462"/>
    </row>
    <row r="15" spans="2:18" s="32" customFormat="1" ht="14.5" thickBot="1" x14ac:dyDescent="0.35">
      <c r="B15" s="535" t="s">
        <v>959</v>
      </c>
      <c r="C15" s="623" t="s">
        <v>157</v>
      </c>
      <c r="D15" s="368">
        <f>[3]Lavenham!$I$15</f>
        <v>69956</v>
      </c>
      <c r="E15" s="618">
        <f>[2]Lavenham!$D$15</f>
        <v>36000</v>
      </c>
      <c r="F15" s="618">
        <f t="shared" si="0"/>
        <v>33956</v>
      </c>
      <c r="G15" s="624">
        <f t="shared" si="1"/>
        <v>0.51459999999999995</v>
      </c>
      <c r="H15" s="491">
        <f t="shared" si="2"/>
        <v>0.51459999999999995</v>
      </c>
      <c r="R15" s="33"/>
    </row>
    <row r="16" spans="2:18" x14ac:dyDescent="0.3">
      <c r="B16" s="429"/>
      <c r="C16" s="459"/>
      <c r="D16" s="431"/>
      <c r="E16" s="431"/>
      <c r="F16" s="431"/>
      <c r="G16" s="461"/>
      <c r="H16" s="462"/>
    </row>
    <row r="17" spans="2:18" x14ac:dyDescent="0.3">
      <c r="B17" s="367" t="s">
        <v>960</v>
      </c>
      <c r="C17" s="365" t="s">
        <v>9</v>
      </c>
      <c r="D17" s="368">
        <f>[3]Lavenham!$I$17</f>
        <v>62251</v>
      </c>
      <c r="E17" s="368">
        <f>[2]Lavenham!$D17</f>
        <v>43240</v>
      </c>
      <c r="F17" s="368">
        <f t="shared" si="0"/>
        <v>19011</v>
      </c>
      <c r="G17" s="366">
        <f t="shared" si="1"/>
        <v>0.6946</v>
      </c>
      <c r="H17" s="462"/>
      <c r="N17" s="33" t="s">
        <v>1369</v>
      </c>
      <c r="O17" s="33" t="s">
        <v>1370</v>
      </c>
      <c r="P17" s="33" t="s">
        <v>1367</v>
      </c>
    </row>
    <row r="18" spans="2:18" x14ac:dyDescent="0.3">
      <c r="B18" s="635" t="s">
        <v>961</v>
      </c>
      <c r="C18" s="636" t="s">
        <v>158</v>
      </c>
      <c r="D18" s="637">
        <f>[3]Lavenham!$I$18</f>
        <v>7694</v>
      </c>
      <c r="E18" s="637">
        <f>[2]Lavenham!$D18</f>
        <v>0</v>
      </c>
      <c r="F18" s="637">
        <f t="shared" si="0"/>
        <v>7694</v>
      </c>
      <c r="G18" s="638">
        <f t="shared" si="1"/>
        <v>0</v>
      </c>
      <c r="H18" s="462"/>
    </row>
    <row r="19" spans="2:18" s="32" customFormat="1" ht="14.5" thickBot="1" x14ac:dyDescent="0.35">
      <c r="B19" s="301" t="s">
        <v>962</v>
      </c>
      <c r="C19" s="302" t="s">
        <v>159</v>
      </c>
      <c r="D19" s="363">
        <f>SUM(D17:D18)</f>
        <v>69945</v>
      </c>
      <c r="E19" s="363">
        <f>SUM(E17:E18)</f>
        <v>43240</v>
      </c>
      <c r="F19" s="363">
        <f t="shared" si="0"/>
        <v>26705</v>
      </c>
      <c r="G19" s="403">
        <f t="shared" si="1"/>
        <v>0.61819999999999997</v>
      </c>
      <c r="H19" s="491">
        <f t="shared" si="2"/>
        <v>0.61819999999999997</v>
      </c>
      <c r="R19" s="33"/>
    </row>
    <row r="20" spans="2:18" x14ac:dyDescent="0.3">
      <c r="B20" s="429"/>
      <c r="C20" s="459"/>
      <c r="D20" s="431"/>
      <c r="E20" s="431"/>
      <c r="F20" s="431"/>
      <c r="G20" s="461"/>
      <c r="H20" s="462"/>
    </row>
    <row r="21" spans="2:18" x14ac:dyDescent="0.3">
      <c r="B21" s="367" t="s">
        <v>963</v>
      </c>
      <c r="C21" s="365" t="s">
        <v>160</v>
      </c>
      <c r="D21" s="368">
        <f>[3]Lavenham!$I$21</f>
        <v>7432</v>
      </c>
      <c r="E21" s="368">
        <f>[2]Lavenham!$D21</f>
        <v>4928</v>
      </c>
      <c r="F21" s="368">
        <f t="shared" si="0"/>
        <v>2504</v>
      </c>
      <c r="G21" s="366">
        <f t="shared" si="1"/>
        <v>0.66310000000000002</v>
      </c>
      <c r="H21" s="462"/>
      <c r="N21" s="33" t="s">
        <v>1365</v>
      </c>
      <c r="O21" s="33" t="s">
        <v>1366</v>
      </c>
      <c r="P21" s="33" t="s">
        <v>1368</v>
      </c>
    </row>
    <row r="22" spans="2:18" x14ac:dyDescent="0.3">
      <c r="B22" s="367" t="s">
        <v>964</v>
      </c>
      <c r="C22" s="365" t="s">
        <v>161</v>
      </c>
      <c r="D22" s="368">
        <f>[3]Lavenham!$I$22</f>
        <v>7432</v>
      </c>
      <c r="E22" s="368">
        <f>[2]Lavenham!$D22</f>
        <v>3080</v>
      </c>
      <c r="F22" s="368">
        <f t="shared" si="0"/>
        <v>4352</v>
      </c>
      <c r="G22" s="366">
        <f t="shared" si="1"/>
        <v>0.41439999999999999</v>
      </c>
      <c r="H22" s="462"/>
      <c r="N22" s="33" t="s">
        <v>1365</v>
      </c>
      <c r="O22" s="33" t="s">
        <v>1366</v>
      </c>
      <c r="P22" s="33" t="s">
        <v>1368</v>
      </c>
    </row>
    <row r="23" spans="2:18" x14ac:dyDescent="0.3">
      <c r="B23" s="367" t="s">
        <v>987</v>
      </c>
      <c r="C23" s="365" t="s">
        <v>162</v>
      </c>
      <c r="D23" s="368">
        <f>[3]Lavenham!$I$23</f>
        <v>3716</v>
      </c>
      <c r="E23" s="368">
        <f>[2]Lavenham!$D23</f>
        <v>2464</v>
      </c>
      <c r="F23" s="368">
        <f t="shared" si="0"/>
        <v>1252</v>
      </c>
      <c r="G23" s="366">
        <f t="shared" si="1"/>
        <v>0.66310000000000002</v>
      </c>
      <c r="H23" s="462"/>
      <c r="N23" s="33" t="s">
        <v>1365</v>
      </c>
      <c r="O23" s="33" t="s">
        <v>1366</v>
      </c>
      <c r="P23" s="33" t="s">
        <v>1368</v>
      </c>
    </row>
    <row r="24" spans="2:18" x14ac:dyDescent="0.3">
      <c r="B24" s="367" t="s">
        <v>966</v>
      </c>
      <c r="C24" s="365" t="s">
        <v>163</v>
      </c>
      <c r="D24" s="368">
        <f>[3]Lavenham!$I$24</f>
        <v>4831</v>
      </c>
      <c r="E24" s="368">
        <f>[2]Lavenham!$D24</f>
        <v>3205</v>
      </c>
      <c r="F24" s="368">
        <f t="shared" si="0"/>
        <v>1626</v>
      </c>
      <c r="G24" s="366">
        <f t="shared" si="1"/>
        <v>0.66339999999999999</v>
      </c>
      <c r="H24" s="462"/>
      <c r="N24" s="33" t="s">
        <v>1365</v>
      </c>
      <c r="O24" s="33" t="s">
        <v>1366</v>
      </c>
      <c r="P24" s="33" t="s">
        <v>1368</v>
      </c>
    </row>
    <row r="25" spans="2:18" x14ac:dyDescent="0.3">
      <c r="B25" s="367" t="s">
        <v>967</v>
      </c>
      <c r="C25" s="365" t="s">
        <v>164</v>
      </c>
      <c r="D25" s="368">
        <f>[3]Lavenham!$I$25</f>
        <v>13749</v>
      </c>
      <c r="E25" s="368">
        <f>[2]Lavenham!$D25</f>
        <v>9119</v>
      </c>
      <c r="F25" s="368">
        <f t="shared" si="0"/>
        <v>4630</v>
      </c>
      <c r="G25" s="366">
        <f t="shared" si="1"/>
        <v>0.66320000000000001</v>
      </c>
      <c r="H25" s="462"/>
      <c r="N25" s="33" t="s">
        <v>1365</v>
      </c>
      <c r="O25" s="33" t="s">
        <v>1366</v>
      </c>
      <c r="P25" s="33" t="s">
        <v>1367</v>
      </c>
    </row>
    <row r="26" spans="2:18" s="490" customFormat="1" ht="28.5" thickBot="1" x14ac:dyDescent="0.35">
      <c r="B26" s="472" t="s">
        <v>968</v>
      </c>
      <c r="C26" s="473" t="s">
        <v>165</v>
      </c>
      <c r="D26" s="474">
        <f>SUM(D21:D25)</f>
        <v>37160</v>
      </c>
      <c r="E26" s="474">
        <f>SUM(E21:E25)</f>
        <v>22796</v>
      </c>
      <c r="F26" s="474">
        <f t="shared" si="0"/>
        <v>14364</v>
      </c>
      <c r="G26" s="403">
        <f t="shared" si="1"/>
        <v>0.61350000000000005</v>
      </c>
      <c r="H26" s="491">
        <f t="shared" si="2"/>
        <v>0.61350000000000005</v>
      </c>
    </row>
    <row r="27" spans="2:18" s="490" customFormat="1" x14ac:dyDescent="0.3">
      <c r="B27" s="512"/>
      <c r="C27" s="513"/>
      <c r="D27" s="514"/>
      <c r="E27" s="514"/>
      <c r="F27" s="514"/>
      <c r="G27" s="515"/>
      <c r="H27" s="462"/>
    </row>
    <row r="28" spans="2:18" s="519" customFormat="1" x14ac:dyDescent="0.3">
      <c r="B28" s="516" t="s">
        <v>969</v>
      </c>
      <c r="C28" s="517" t="s">
        <v>538</v>
      </c>
      <c r="D28" s="368">
        <f>[3]Lavenham!$I$28</f>
        <v>10120</v>
      </c>
      <c r="E28" s="368">
        <f>[2]Lavenham!$D28</f>
        <v>5000</v>
      </c>
      <c r="F28" s="518">
        <f>D28-E28</f>
        <v>5120</v>
      </c>
      <c r="G28" s="366">
        <f t="shared" si="1"/>
        <v>0.49409999999999998</v>
      </c>
      <c r="H28" s="462"/>
      <c r="N28" s="519" t="s">
        <v>1365</v>
      </c>
      <c r="O28" s="519" t="s">
        <v>1366</v>
      </c>
    </row>
    <row r="29" spans="2:18" s="519" customFormat="1" x14ac:dyDescent="0.3">
      <c r="B29" s="644" t="s">
        <v>970</v>
      </c>
      <c r="C29" s="645" t="s">
        <v>539</v>
      </c>
      <c r="D29" s="642">
        <f>[3]Lavenham!$I$29</f>
        <v>20240</v>
      </c>
      <c r="E29" s="642">
        <f>[2]Lavenham!$D29</f>
        <v>20240</v>
      </c>
      <c r="F29" s="642">
        <f>D29-E29</f>
        <v>0</v>
      </c>
      <c r="G29" s="646">
        <f t="shared" si="1"/>
        <v>1</v>
      </c>
      <c r="H29" s="462"/>
      <c r="N29" s="519" t="s">
        <v>1365</v>
      </c>
      <c r="O29" s="519" t="s">
        <v>1366</v>
      </c>
      <c r="P29" s="519" t="s">
        <v>1368</v>
      </c>
    </row>
    <row r="30" spans="2:18" s="519" customFormat="1" x14ac:dyDescent="0.3">
      <c r="B30" s="367" t="s">
        <v>971</v>
      </c>
      <c r="C30" s="365" t="s">
        <v>540</v>
      </c>
      <c r="D30" s="368">
        <f>[3]Lavenham!$I$30</f>
        <v>24963</v>
      </c>
      <c r="E30" s="368">
        <f>[2]Lavenham!$D30</f>
        <v>18723</v>
      </c>
      <c r="F30" s="368">
        <f>D30-E30</f>
        <v>6240</v>
      </c>
      <c r="G30" s="366">
        <f t="shared" si="1"/>
        <v>0.75</v>
      </c>
      <c r="H30" s="462"/>
      <c r="N30" s="519" t="s">
        <v>1365</v>
      </c>
      <c r="O30" s="519" t="s">
        <v>1366</v>
      </c>
      <c r="P30" s="519" t="s">
        <v>1367</v>
      </c>
    </row>
    <row r="31" spans="2:18" s="519" customFormat="1" x14ac:dyDescent="0.3">
      <c r="B31" s="644" t="s">
        <v>972</v>
      </c>
      <c r="C31" s="645" t="s">
        <v>541</v>
      </c>
      <c r="D31" s="642">
        <f>[3]Lavenham!$I$31</f>
        <v>12145</v>
      </c>
      <c r="E31" s="642">
        <f>[2]Lavenham!$D31</f>
        <v>12144</v>
      </c>
      <c r="F31" s="642">
        <f>D31-E31</f>
        <v>1</v>
      </c>
      <c r="G31" s="646">
        <f t="shared" si="1"/>
        <v>0.99990000000000001</v>
      </c>
      <c r="H31" s="462"/>
      <c r="N31" s="519" t="s">
        <v>1365</v>
      </c>
      <c r="O31" s="519" t="s">
        <v>1366</v>
      </c>
      <c r="P31" s="519" t="s">
        <v>1371</v>
      </c>
    </row>
    <row r="32" spans="2:18" s="490" customFormat="1" ht="28.5" thickBot="1" x14ac:dyDescent="0.35">
      <c r="B32" s="472" t="s">
        <v>973</v>
      </c>
      <c r="C32" s="473" t="s">
        <v>542</v>
      </c>
      <c r="D32" s="474">
        <f>SUM(D28:D31)</f>
        <v>67468</v>
      </c>
      <c r="E32" s="474">
        <f>SUM(E28:E31)</f>
        <v>56107</v>
      </c>
      <c r="F32" s="474">
        <f>D32-E32</f>
        <v>11361</v>
      </c>
      <c r="G32" s="403">
        <f t="shared" si="1"/>
        <v>0.83160000000000001</v>
      </c>
      <c r="H32" s="491">
        <f t="shared" si="2"/>
        <v>0.83160000000000001</v>
      </c>
    </row>
    <row r="33" spans="2:16" x14ac:dyDescent="0.3">
      <c r="B33" s="429"/>
      <c r="C33" s="459"/>
      <c r="D33" s="431"/>
      <c r="E33" s="431"/>
      <c r="F33" s="431"/>
      <c r="G33" s="461"/>
      <c r="H33" s="462"/>
    </row>
    <row r="34" spans="2:16" x14ac:dyDescent="0.3">
      <c r="B34" s="516" t="s">
        <v>974</v>
      </c>
      <c r="C34" s="517" t="s">
        <v>166</v>
      </c>
      <c r="D34" s="368">
        <f>[3]Lavenham!$I$34</f>
        <v>41591</v>
      </c>
      <c r="E34" s="368">
        <f>[2]Lavenham!$D34</f>
        <v>12000</v>
      </c>
      <c r="F34" s="518">
        <f t="shared" si="0"/>
        <v>29591</v>
      </c>
      <c r="G34" s="366">
        <f t="shared" si="1"/>
        <v>0.28849999999999998</v>
      </c>
      <c r="H34" s="462"/>
      <c r="N34" s="33" t="s">
        <v>1365</v>
      </c>
      <c r="O34" s="33" t="s">
        <v>1366</v>
      </c>
    </row>
    <row r="35" spans="2:16" x14ac:dyDescent="0.3">
      <c r="B35" s="367" t="s">
        <v>975</v>
      </c>
      <c r="C35" s="365" t="s">
        <v>167</v>
      </c>
      <c r="D35" s="368">
        <f>[3]Lavenham!$I$35</f>
        <v>21568</v>
      </c>
      <c r="E35" s="368">
        <f>[2]Lavenham!$D35</f>
        <v>7004</v>
      </c>
      <c r="F35" s="368">
        <f t="shared" si="0"/>
        <v>14564</v>
      </c>
      <c r="G35" s="366">
        <f t="shared" si="1"/>
        <v>0.32469999999999999</v>
      </c>
      <c r="H35" s="462"/>
      <c r="N35" s="33" t="s">
        <v>1365</v>
      </c>
      <c r="O35" s="33" t="s">
        <v>1366</v>
      </c>
    </row>
    <row r="36" spans="2:16" s="32" customFormat="1" ht="14.5" thickBot="1" x14ac:dyDescent="0.35">
      <c r="B36" s="301" t="s">
        <v>976</v>
      </c>
      <c r="C36" s="302" t="s">
        <v>168</v>
      </c>
      <c r="D36" s="363">
        <f>SUM(D34:D35)</f>
        <v>63159</v>
      </c>
      <c r="E36" s="363">
        <f>SUM(E34:E35)</f>
        <v>19004</v>
      </c>
      <c r="F36" s="363">
        <f t="shared" si="0"/>
        <v>44155</v>
      </c>
      <c r="G36" s="403">
        <f t="shared" si="1"/>
        <v>0.3009</v>
      </c>
      <c r="H36" s="491">
        <f t="shared" si="2"/>
        <v>0.3009</v>
      </c>
    </row>
    <row r="37" spans="2:16" x14ac:dyDescent="0.3">
      <c r="B37" s="429"/>
      <c r="C37" s="459"/>
      <c r="D37" s="431"/>
      <c r="E37" s="431"/>
      <c r="F37" s="431"/>
      <c r="G37" s="461"/>
      <c r="H37" s="462"/>
    </row>
    <row r="38" spans="2:16" x14ac:dyDescent="0.3">
      <c r="B38" s="655" t="s">
        <v>953</v>
      </c>
      <c r="C38" s="636" t="s">
        <v>169</v>
      </c>
      <c r="D38" s="637">
        <f>[3]Lavenham!$I$39</f>
        <v>0</v>
      </c>
      <c r="E38" s="637">
        <f>[2]Lavenham!$D38</f>
        <v>0</v>
      </c>
      <c r="F38" s="656">
        <f t="shared" ref="F38:F45" si="3">D38-E38</f>
        <v>0</v>
      </c>
      <c r="G38" s="366"/>
      <c r="H38" s="462"/>
      <c r="N38" s="33" t="s">
        <v>1365</v>
      </c>
      <c r="O38" s="33" t="s">
        <v>1366</v>
      </c>
      <c r="P38" s="33" t="s">
        <v>1368</v>
      </c>
    </row>
    <row r="39" spans="2:16" x14ac:dyDescent="0.3">
      <c r="B39" s="516" t="s">
        <v>977</v>
      </c>
      <c r="C39" s="365" t="s">
        <v>170</v>
      </c>
      <c r="D39" s="368">
        <f>[3]Lavenham!$I$40</f>
        <v>0</v>
      </c>
      <c r="E39" s="368">
        <f>[2]Lavenham!$D39</f>
        <v>2500</v>
      </c>
      <c r="F39" s="518">
        <f t="shared" si="3"/>
        <v>-2500</v>
      </c>
      <c r="G39" s="366"/>
      <c r="H39" s="462"/>
    </row>
    <row r="40" spans="2:16" x14ac:dyDescent="0.3">
      <c r="B40" s="655" t="s">
        <v>978</v>
      </c>
      <c r="C40" s="636" t="s">
        <v>171</v>
      </c>
      <c r="D40" s="637">
        <f>[3]Lavenham!$I$41</f>
        <v>0</v>
      </c>
      <c r="E40" s="637">
        <f>[2]Lavenham!$D40</f>
        <v>0</v>
      </c>
      <c r="F40" s="656">
        <f t="shared" si="3"/>
        <v>0</v>
      </c>
      <c r="G40" s="366"/>
      <c r="H40" s="462"/>
      <c r="N40" s="33" t="s">
        <v>1365</v>
      </c>
      <c r="O40" s="33" t="s">
        <v>1366</v>
      </c>
    </row>
    <row r="41" spans="2:16" x14ac:dyDescent="0.3">
      <c r="B41" s="655" t="s">
        <v>979</v>
      </c>
      <c r="C41" s="636" t="s">
        <v>172</v>
      </c>
      <c r="D41" s="637">
        <f>[3]Lavenham!$I$42</f>
        <v>0</v>
      </c>
      <c r="E41" s="637">
        <f>[2]Lavenham!$D41</f>
        <v>0</v>
      </c>
      <c r="F41" s="656">
        <f t="shared" si="3"/>
        <v>0</v>
      </c>
      <c r="G41" s="366"/>
      <c r="H41" s="462"/>
      <c r="N41" s="33" t="s">
        <v>1365</v>
      </c>
      <c r="O41" s="33" t="s">
        <v>1366</v>
      </c>
    </row>
    <row r="42" spans="2:16" x14ac:dyDescent="0.3">
      <c r="B42" s="655" t="s">
        <v>980</v>
      </c>
      <c r="C42" s="636" t="s">
        <v>173</v>
      </c>
      <c r="D42" s="637">
        <f>[3]Lavenham!$I$43</f>
        <v>0</v>
      </c>
      <c r="E42" s="637">
        <f>[2]Lavenham!$D42</f>
        <v>0</v>
      </c>
      <c r="F42" s="656">
        <f t="shared" si="3"/>
        <v>0</v>
      </c>
      <c r="G42" s="366"/>
      <c r="H42" s="462"/>
    </row>
    <row r="43" spans="2:16" x14ac:dyDescent="0.3">
      <c r="B43" s="655" t="s">
        <v>981</v>
      </c>
      <c r="C43" s="636" t="s">
        <v>174</v>
      </c>
      <c r="D43" s="637">
        <f>[3]Lavenham!$I$44</f>
        <v>0</v>
      </c>
      <c r="E43" s="637">
        <f>[2]Lavenham!$D43</f>
        <v>0</v>
      </c>
      <c r="F43" s="656">
        <f t="shared" si="3"/>
        <v>0</v>
      </c>
      <c r="G43" s="366"/>
      <c r="H43" s="462"/>
    </row>
    <row r="44" spans="2:16" x14ac:dyDescent="0.3">
      <c r="B44" s="516" t="s">
        <v>982</v>
      </c>
      <c r="C44" s="365" t="s">
        <v>425</v>
      </c>
      <c r="D44" s="368">
        <v>0</v>
      </c>
      <c r="E44" s="368">
        <f>[2]Lavenham!$D42</f>
        <v>0</v>
      </c>
      <c r="F44" s="518">
        <f t="shared" si="3"/>
        <v>0</v>
      </c>
      <c r="G44" s="366"/>
      <c r="H44" s="462"/>
    </row>
    <row r="45" spans="2:16" x14ac:dyDescent="0.3">
      <c r="B45" s="516"/>
      <c r="C45" s="365" t="s">
        <v>606</v>
      </c>
      <c r="D45" s="368">
        <v>0</v>
      </c>
      <c r="E45" s="368">
        <f>[2]Lavenham!$D45</f>
        <v>0</v>
      </c>
      <c r="F45" s="518">
        <f t="shared" si="3"/>
        <v>0</v>
      </c>
      <c r="G45" s="366"/>
      <c r="H45" s="462"/>
    </row>
    <row r="46" spans="2:16" x14ac:dyDescent="0.3">
      <c r="B46" s="516"/>
      <c r="C46" s="471"/>
      <c r="D46" s="447"/>
      <c r="E46" s="368"/>
      <c r="F46" s="447"/>
      <c r="G46" s="366"/>
      <c r="H46" s="462"/>
    </row>
    <row r="47" spans="2:16" s="32" customFormat="1" ht="14.5" thickBot="1" x14ac:dyDescent="0.35">
      <c r="B47" s="301" t="s">
        <v>982</v>
      </c>
      <c r="C47" s="302" t="s">
        <v>175</v>
      </c>
      <c r="D47" s="363">
        <f>SUM(D38:D46)</f>
        <v>0</v>
      </c>
      <c r="E47" s="363">
        <f>SUM(E38:E44)</f>
        <v>2500</v>
      </c>
      <c r="F47" s="363">
        <f t="shared" si="0"/>
        <v>-2500</v>
      </c>
      <c r="G47" s="403"/>
      <c r="H47" s="491">
        <f t="shared" si="2"/>
        <v>0</v>
      </c>
    </row>
    <row r="48" spans="2:16" x14ac:dyDescent="0.3">
      <c r="B48" s="429"/>
      <c r="C48" s="459"/>
      <c r="D48" s="431"/>
      <c r="E48" s="431"/>
      <c r="F48" s="431"/>
      <c r="G48" s="461"/>
      <c r="H48" s="462"/>
    </row>
    <row r="49" spans="2:16" x14ac:dyDescent="0.3">
      <c r="B49" s="367" t="s">
        <v>983</v>
      </c>
      <c r="C49" s="365" t="s">
        <v>176</v>
      </c>
      <c r="D49" s="368">
        <f>[3]Lavenham!$I$48</f>
        <v>19677</v>
      </c>
      <c r="E49" s="368">
        <f>[2]Lavenham!$D46</f>
        <v>16120</v>
      </c>
      <c r="F49" s="368">
        <f t="shared" si="0"/>
        <v>3557</v>
      </c>
      <c r="G49" s="366">
        <f t="shared" si="1"/>
        <v>0.81920000000000004</v>
      </c>
      <c r="H49" s="462"/>
      <c r="N49" s="33" t="s">
        <v>1369</v>
      </c>
      <c r="O49" s="33" t="s">
        <v>1370</v>
      </c>
      <c r="P49" s="33" t="s">
        <v>1367</v>
      </c>
    </row>
    <row r="50" spans="2:16" x14ac:dyDescent="0.3">
      <c r="B50" s="367" t="s">
        <v>984</v>
      </c>
      <c r="C50" s="365" t="s">
        <v>177</v>
      </c>
      <c r="D50" s="368">
        <f>[3]Lavenham!$I$49</f>
        <v>48155</v>
      </c>
      <c r="E50" s="368">
        <f>[2]Lavenham!$D47</f>
        <v>30000</v>
      </c>
      <c r="F50" s="368">
        <f t="shared" si="0"/>
        <v>18155</v>
      </c>
      <c r="G50" s="366">
        <f t="shared" si="1"/>
        <v>0.623</v>
      </c>
      <c r="H50" s="462"/>
      <c r="N50" s="33" t="s">
        <v>1369</v>
      </c>
      <c r="O50" s="33" t="s">
        <v>1370</v>
      </c>
      <c r="P50" s="33" t="s">
        <v>1367</v>
      </c>
    </row>
    <row r="51" spans="2:16" s="32" customFormat="1" ht="14.5" thickBot="1" x14ac:dyDescent="0.35">
      <c r="B51" s="301" t="s">
        <v>985</v>
      </c>
      <c r="C51" s="302" t="s">
        <v>178</v>
      </c>
      <c r="D51" s="363">
        <f>SUM(D49:D50)</f>
        <v>67832</v>
      </c>
      <c r="E51" s="363">
        <f>SUM(E49:E50)</f>
        <v>46120</v>
      </c>
      <c r="F51" s="363">
        <f t="shared" si="0"/>
        <v>21712</v>
      </c>
      <c r="G51" s="403">
        <f t="shared" si="1"/>
        <v>0.67989999999999995</v>
      </c>
      <c r="H51" s="491">
        <f t="shared" si="2"/>
        <v>0.67989999999999995</v>
      </c>
    </row>
    <row r="52" spans="2:16" x14ac:dyDescent="0.3">
      <c r="B52" s="429" t="s">
        <v>554</v>
      </c>
      <c r="C52" s="365"/>
      <c r="D52" s="368"/>
      <c r="E52" s="368"/>
      <c r="F52" s="368"/>
      <c r="G52" s="456"/>
    </row>
    <row r="53" spans="2:16" ht="14.5" thickBot="1" x14ac:dyDescent="0.35">
      <c r="B53" s="301"/>
      <c r="C53" s="468"/>
      <c r="D53" s="370"/>
      <c r="E53" s="363"/>
      <c r="F53" s="370"/>
      <c r="G53" s="399"/>
      <c r="H53" s="400"/>
      <c r="I53" s="370"/>
      <c r="J53" s="370"/>
      <c r="K53" s="370"/>
      <c r="L53" s="370"/>
      <c r="M53" s="370"/>
      <c r="N53" s="370">
        <v>0</v>
      </c>
      <c r="O53" s="370">
        <f>D53-N53</f>
        <v>0</v>
      </c>
    </row>
    <row r="54" spans="2:16" x14ac:dyDescent="0.3">
      <c r="B54" s="367"/>
      <c r="C54" s="365"/>
      <c r="D54" s="368"/>
      <c r="E54" s="368"/>
      <c r="F54" s="368"/>
      <c r="G54" s="366"/>
    </row>
    <row r="55" spans="2:16" s="32" customFormat="1" ht="14.5" thickBot="1" x14ac:dyDescent="0.35">
      <c r="B55" s="301"/>
      <c r="C55" s="302" t="s">
        <v>607</v>
      </c>
      <c r="D55" s="363">
        <f>SUM(D51,D47,D36,D32,D26,D19,D15,D13)-D45</f>
        <v>444335</v>
      </c>
      <c r="E55" s="363">
        <f>SUM(E51,E47,E36,E32,E26,E19,E15,E13,E53)</f>
        <v>265743</v>
      </c>
      <c r="F55" s="363">
        <f t="shared" si="0"/>
        <v>178592</v>
      </c>
      <c r="G55" s="457">
        <f t="shared" si="1"/>
        <v>0.59809999999999997</v>
      </c>
    </row>
    <row r="56" spans="2:16" x14ac:dyDescent="0.3">
      <c r="B56" s="373"/>
      <c r="C56" s="365"/>
      <c r="D56" s="368"/>
      <c r="E56" s="368"/>
      <c r="F56" s="368"/>
      <c r="G56" s="366"/>
    </row>
    <row r="57" spans="2:16" ht="14.5" thickBot="1" x14ac:dyDescent="0.35">
      <c r="B57" s="510"/>
      <c r="C57" s="468" t="s">
        <v>1530</v>
      </c>
      <c r="D57" s="370">
        <f>D55+D45</f>
        <v>444335</v>
      </c>
      <c r="E57" s="370">
        <f>E55+E45</f>
        <v>265743</v>
      </c>
      <c r="F57" s="370">
        <f>F55+F45</f>
        <v>178592</v>
      </c>
      <c r="G57" s="457">
        <f t="shared" ref="G57" si="4">ROUND((E57/D57),4)</f>
        <v>0.59809999999999997</v>
      </c>
    </row>
    <row r="58" spans="2:16" x14ac:dyDescent="0.3">
      <c r="B58" s="429"/>
      <c r="C58" s="365"/>
      <c r="D58" s="368"/>
      <c r="E58" s="368"/>
      <c r="F58" s="368"/>
      <c r="G58" s="366"/>
    </row>
    <row r="59" spans="2:16" ht="14.5" thickBot="1" x14ac:dyDescent="0.35">
      <c r="B59" s="520"/>
      <c r="C59" s="302" t="s">
        <v>1657</v>
      </c>
      <c r="D59" s="363">
        <f>[5]Summary!$D$11</f>
        <v>464653</v>
      </c>
      <c r="E59" s="363">
        <f>[6]Lavenham!$D$54</f>
        <v>237740</v>
      </c>
      <c r="F59" s="363">
        <f>D59-E59</f>
        <v>226913</v>
      </c>
      <c r="G59" s="457">
        <f>E59/D59</f>
        <v>0.51165062960962271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R55"/>
  <sheetViews>
    <sheetView topLeftCell="A41" zoomScaleNormal="100" workbookViewId="0">
      <selection activeCell="B41" sqref="B41:G41"/>
    </sheetView>
  </sheetViews>
  <sheetFormatPr defaultColWidth="8.58203125" defaultRowHeight="14" x14ac:dyDescent="0.3"/>
  <cols>
    <col min="1" max="1" width="9" style="33" customWidth="1"/>
    <col min="2" max="2" width="11.08203125" style="33" bestFit="1" customWidth="1"/>
    <col min="3" max="3" width="46.5" style="33" customWidth="1"/>
    <col min="4" max="6" width="12" style="33" bestFit="1" customWidth="1"/>
    <col min="7" max="7" width="12.58203125" style="214" customWidth="1"/>
    <col min="8" max="10" width="10.25" style="33" hidden="1" customWidth="1"/>
    <col min="11" max="11" width="19.33203125" style="33" hidden="1" customWidth="1"/>
    <col min="12" max="13" width="10.25" style="33" hidden="1" customWidth="1"/>
    <col min="14" max="14" width="16.75" style="33" hidden="1" customWidth="1"/>
    <col min="15" max="15" width="15.5" style="33" hidden="1" customWidth="1"/>
    <col min="16" max="16" width="13.83203125" style="33" hidden="1" customWidth="1"/>
    <col min="17" max="17" width="9" style="33" customWidth="1"/>
    <col min="18" max="18" width="9" style="33" hidden="1" customWidth="1"/>
    <col min="19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88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COUNTIF(H10:H58,"&gt;1")</f>
        <v>0</v>
      </c>
    </row>
    <row r="4" spans="2:16" s="32" customFormat="1" ht="18" thickBot="1" x14ac:dyDescent="0.4">
      <c r="B4" s="413"/>
      <c r="C4" s="521" t="s">
        <v>246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COUNTIF(H10:H58,1)</f>
        <v>0</v>
      </c>
    </row>
    <row r="5" spans="2:16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f>COUNTIFS(H10:H58,"&gt;="&amp;Target,H10:H58,"&lt;"&amp;1)</f>
        <v>0</v>
      </c>
    </row>
    <row r="6" spans="2:16" s="32" customFormat="1" ht="14.5" thickBot="1" x14ac:dyDescent="0.35">
      <c r="B6" s="418" t="s">
        <v>592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4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522"/>
      <c r="C7" s="365"/>
      <c r="D7" s="365"/>
      <c r="E7" s="365"/>
      <c r="F7" s="365"/>
      <c r="G7" s="366"/>
      <c r="K7" s="33" t="s">
        <v>547</v>
      </c>
      <c r="L7" s="33">
        <v>0</v>
      </c>
    </row>
    <row r="8" spans="2:16" x14ac:dyDescent="0.3">
      <c r="B8" s="367" t="s">
        <v>988</v>
      </c>
      <c r="C8" s="365" t="s">
        <v>179</v>
      </c>
      <c r="D8" s="402">
        <f>[3]Mildenhall!$I$8</f>
        <v>60436</v>
      </c>
      <c r="E8" s="368">
        <f>[2]Mildenhall!$D$8</f>
        <v>18000</v>
      </c>
      <c r="F8" s="368">
        <f>D8-E8</f>
        <v>42436</v>
      </c>
      <c r="G8" s="366">
        <f>ROUND((E8/D8),4)</f>
        <v>0.29780000000000001</v>
      </c>
      <c r="L8" s="33">
        <f>SUM(L3:L7)</f>
        <v>4</v>
      </c>
      <c r="N8" s="31" t="s">
        <v>1369</v>
      </c>
      <c r="O8" s="33" t="s">
        <v>1366</v>
      </c>
    </row>
    <row r="9" spans="2:16" x14ac:dyDescent="0.3">
      <c r="B9" s="367"/>
      <c r="C9" s="523" t="s">
        <v>606</v>
      </c>
      <c r="D9" s="368"/>
      <c r="E9" s="368"/>
      <c r="F9" s="368">
        <f>D9-E9</f>
        <v>0</v>
      </c>
      <c r="G9" s="366"/>
      <c r="N9" s="31"/>
    </row>
    <row r="10" spans="2:16" s="32" customFormat="1" ht="14.5" thickBot="1" x14ac:dyDescent="0.35">
      <c r="B10" s="301" t="s">
        <v>988</v>
      </c>
      <c r="C10" s="302" t="s">
        <v>179</v>
      </c>
      <c r="D10" s="363">
        <f>SUM(D8:D9)</f>
        <v>60436</v>
      </c>
      <c r="E10" s="363">
        <f>SUM(E8:E8)</f>
        <v>18000</v>
      </c>
      <c r="F10" s="363">
        <f>D10-E10</f>
        <v>42436</v>
      </c>
      <c r="G10" s="403">
        <f>ROUND((E10/D10),4)</f>
        <v>0.29780000000000001</v>
      </c>
      <c r="H10" s="455">
        <f>G10</f>
        <v>0.29780000000000001</v>
      </c>
      <c r="J10" s="33"/>
      <c r="K10" s="33"/>
      <c r="L10" s="33"/>
    </row>
    <row r="11" spans="2:16" x14ac:dyDescent="0.3">
      <c r="B11" s="373"/>
      <c r="C11" s="384"/>
      <c r="D11" s="369"/>
      <c r="E11" s="369"/>
      <c r="F11" s="369"/>
      <c r="G11" s="456"/>
      <c r="H11" s="455"/>
    </row>
    <row r="12" spans="2:16" x14ac:dyDescent="0.3">
      <c r="B12" s="644" t="s">
        <v>989</v>
      </c>
      <c r="C12" s="645" t="s">
        <v>180</v>
      </c>
      <c r="D12" s="642">
        <f>[3]Mildenhall!$I$11</f>
        <v>1400</v>
      </c>
      <c r="E12" s="642">
        <f>[2]Mildenhall!$D12</f>
        <v>1400</v>
      </c>
      <c r="F12" s="642">
        <f>D12-E12</f>
        <v>0</v>
      </c>
      <c r="G12" s="646">
        <f t="shared" ref="G12:G50" si="0">ROUND((E12/D12),4)</f>
        <v>1</v>
      </c>
      <c r="H12" s="455"/>
      <c r="N12" s="33" t="s">
        <v>1365</v>
      </c>
      <c r="O12" s="33" t="s">
        <v>1366</v>
      </c>
      <c r="P12" s="33" t="s">
        <v>1371</v>
      </c>
    </row>
    <row r="13" spans="2:16" x14ac:dyDescent="0.3">
      <c r="B13" s="367" t="s">
        <v>990</v>
      </c>
      <c r="C13" s="365" t="s">
        <v>181</v>
      </c>
      <c r="D13" s="368">
        <f>[3]Mildenhall!$I$12</f>
        <v>13000</v>
      </c>
      <c r="E13" s="368">
        <f>[2]Mildenhall!$D13</f>
        <v>8000</v>
      </c>
      <c r="F13" s="368">
        <f>D13-E13</f>
        <v>5000</v>
      </c>
      <c r="G13" s="366">
        <f t="shared" si="0"/>
        <v>0.61539999999999995</v>
      </c>
      <c r="H13" s="455"/>
      <c r="N13" s="33" t="s">
        <v>1369</v>
      </c>
      <c r="O13" s="33" t="s">
        <v>1370</v>
      </c>
      <c r="P13" s="33" t="s">
        <v>1367</v>
      </c>
    </row>
    <row r="14" spans="2:16" x14ac:dyDescent="0.3">
      <c r="B14" s="367" t="s">
        <v>991</v>
      </c>
      <c r="C14" s="365" t="s">
        <v>182</v>
      </c>
      <c r="D14" s="368">
        <f>[3]Mildenhall!$I$13</f>
        <v>5800</v>
      </c>
      <c r="E14" s="368">
        <f>[2]Mildenhall!$D14</f>
        <v>2900</v>
      </c>
      <c r="F14" s="368">
        <f>D14-E14</f>
        <v>2900</v>
      </c>
      <c r="G14" s="366">
        <f t="shared" si="0"/>
        <v>0.5</v>
      </c>
      <c r="H14" s="455"/>
      <c r="N14" s="33" t="s">
        <v>1365</v>
      </c>
      <c r="O14" s="33" t="s">
        <v>1366</v>
      </c>
      <c r="P14" s="33" t="s">
        <v>1373</v>
      </c>
    </row>
    <row r="15" spans="2:16" x14ac:dyDescent="0.3">
      <c r="B15" s="373"/>
      <c r="C15" s="384" t="s">
        <v>202</v>
      </c>
      <c r="D15" s="368"/>
      <c r="E15" s="368"/>
      <c r="F15" s="369">
        <f>D15-E15</f>
        <v>0</v>
      </c>
      <c r="G15" s="366"/>
      <c r="H15" s="455"/>
    </row>
    <row r="16" spans="2:16" s="32" customFormat="1" ht="14.5" thickBot="1" x14ac:dyDescent="0.35">
      <c r="B16" s="481" t="s">
        <v>992</v>
      </c>
      <c r="C16" s="524" t="s">
        <v>183</v>
      </c>
      <c r="D16" s="363">
        <f>SUM(D12:D15)</f>
        <v>20200</v>
      </c>
      <c r="E16" s="363">
        <f>SUM(E12:E15)</f>
        <v>12300</v>
      </c>
      <c r="F16" s="363">
        <f>D16-E16</f>
        <v>7900</v>
      </c>
      <c r="G16" s="364">
        <f t="shared" si="0"/>
        <v>0.6089</v>
      </c>
      <c r="H16" s="455">
        <f t="shared" ref="H16:H46" si="1">G16</f>
        <v>0.6089</v>
      </c>
    </row>
    <row r="17" spans="2:18" s="32" customFormat="1" x14ac:dyDescent="0.3">
      <c r="B17" s="373"/>
      <c r="C17" s="524"/>
      <c r="D17" s="524"/>
      <c r="E17" s="432"/>
      <c r="F17" s="524"/>
      <c r="G17" s="525"/>
      <c r="H17" s="455"/>
    </row>
    <row r="18" spans="2:18" s="32" customFormat="1" x14ac:dyDescent="0.3">
      <c r="B18" s="526" t="s">
        <v>993</v>
      </c>
      <c r="C18" s="527" t="s">
        <v>184</v>
      </c>
      <c r="D18" s="528">
        <f>[3]Mildenhall!$I$17</f>
        <v>0</v>
      </c>
      <c r="E18" s="368">
        <f>[4]Mildenhall!$D$18</f>
        <v>0</v>
      </c>
      <c r="F18" s="434">
        <f>D18-E18</f>
        <v>0</v>
      </c>
      <c r="G18" s="366"/>
      <c r="H18" s="455"/>
    </row>
    <row r="19" spans="2:18" s="32" customFormat="1" x14ac:dyDescent="0.3">
      <c r="B19" s="373"/>
      <c r="C19" s="523" t="s">
        <v>606</v>
      </c>
      <c r="D19" s="368"/>
      <c r="E19" s="368"/>
      <c r="F19" s="368"/>
      <c r="G19" s="375"/>
      <c r="H19" s="455"/>
    </row>
    <row r="20" spans="2:18" s="32" customFormat="1" ht="14.5" thickBot="1" x14ac:dyDescent="0.35">
      <c r="B20" s="472" t="s">
        <v>993</v>
      </c>
      <c r="C20" s="473" t="s">
        <v>184</v>
      </c>
      <c r="D20" s="363">
        <f>D18+D19</f>
        <v>0</v>
      </c>
      <c r="E20" s="363">
        <f t="shared" ref="E20:F20" si="2">E18+E19</f>
        <v>0</v>
      </c>
      <c r="F20" s="363">
        <f t="shared" si="2"/>
        <v>0</v>
      </c>
      <c r="G20" s="364"/>
      <c r="H20" s="455"/>
    </row>
    <row r="21" spans="2:18" x14ac:dyDescent="0.3">
      <c r="B21" s="373"/>
      <c r="C21" s="384"/>
      <c r="D21" s="384"/>
      <c r="E21" s="384"/>
      <c r="F21" s="384"/>
      <c r="G21" s="529"/>
      <c r="H21" s="455"/>
    </row>
    <row r="22" spans="2:18" x14ac:dyDescent="0.3">
      <c r="B22" s="367" t="s">
        <v>994</v>
      </c>
      <c r="C22" s="365" t="s">
        <v>185</v>
      </c>
      <c r="D22" s="368">
        <f>[3]Mildenhall!$I$19</f>
        <v>0</v>
      </c>
      <c r="E22" s="368">
        <f>[2]Mildenhall!$D22</f>
        <v>7500</v>
      </c>
      <c r="F22" s="368">
        <f t="shared" ref="F22:F38" si="3">D22-E22</f>
        <v>-7500</v>
      </c>
      <c r="G22" s="366"/>
      <c r="H22" s="455"/>
      <c r="N22" s="31" t="s">
        <v>1365</v>
      </c>
      <c r="O22" s="33" t="s">
        <v>1366</v>
      </c>
      <c r="P22" s="33" t="s">
        <v>1367</v>
      </c>
    </row>
    <row r="23" spans="2:18" x14ac:dyDescent="0.3">
      <c r="B23" s="367" t="s">
        <v>995</v>
      </c>
      <c r="C23" s="365" t="s">
        <v>186</v>
      </c>
      <c r="D23" s="368">
        <f>[3]Mildenhall!$I$20</f>
        <v>0</v>
      </c>
      <c r="E23" s="368">
        <f>[2]Mildenhall!$D23</f>
        <v>3500</v>
      </c>
      <c r="F23" s="368">
        <f t="shared" si="3"/>
        <v>-3500</v>
      </c>
      <c r="G23" s="366"/>
      <c r="H23" s="455"/>
      <c r="N23" s="31" t="s">
        <v>1369</v>
      </c>
      <c r="O23" s="33" t="s">
        <v>1366</v>
      </c>
      <c r="P23" s="33" t="s">
        <v>1368</v>
      </c>
    </row>
    <row r="24" spans="2:18" x14ac:dyDescent="0.3">
      <c r="B24" s="367" t="s">
        <v>996</v>
      </c>
      <c r="C24" s="365" t="s">
        <v>187</v>
      </c>
      <c r="D24" s="368">
        <f>[3]Mildenhall!$I$21</f>
        <v>0</v>
      </c>
      <c r="E24" s="368">
        <f>[2]Mildenhall!$D24</f>
        <v>5112</v>
      </c>
      <c r="F24" s="368">
        <f t="shared" si="3"/>
        <v>-5112</v>
      </c>
      <c r="G24" s="366"/>
      <c r="H24" s="455"/>
      <c r="N24" s="31" t="s">
        <v>1369</v>
      </c>
      <c r="O24" s="33" t="s">
        <v>1366</v>
      </c>
    </row>
    <row r="25" spans="2:18" x14ac:dyDescent="0.3">
      <c r="B25" s="367" t="s">
        <v>997</v>
      </c>
      <c r="C25" s="365" t="s">
        <v>188</v>
      </c>
      <c r="D25" s="368">
        <f>[3]Mildenhall!$I$22</f>
        <v>0</v>
      </c>
      <c r="E25" s="368">
        <f>[2]Mildenhall!$D25</f>
        <v>3500</v>
      </c>
      <c r="F25" s="368">
        <f t="shared" si="3"/>
        <v>-3500</v>
      </c>
      <c r="G25" s="366"/>
      <c r="H25" s="455"/>
      <c r="N25" s="31" t="s">
        <v>1365</v>
      </c>
      <c r="O25" s="33" t="s">
        <v>1366</v>
      </c>
      <c r="P25" s="33" t="s">
        <v>1373</v>
      </c>
    </row>
    <row r="26" spans="2:18" x14ac:dyDescent="0.3">
      <c r="B26" s="367" t="s">
        <v>998</v>
      </c>
      <c r="C26" s="365" t="s">
        <v>189</v>
      </c>
      <c r="D26" s="368">
        <f>[3]Mildenhall!$I$23</f>
        <v>0</v>
      </c>
      <c r="E26" s="368">
        <f>[2]Mildenhall!$D26</f>
        <v>4671</v>
      </c>
      <c r="F26" s="368">
        <f t="shared" si="3"/>
        <v>-4671</v>
      </c>
      <c r="G26" s="366"/>
      <c r="H26" s="455"/>
      <c r="N26" s="31" t="s">
        <v>1365</v>
      </c>
      <c r="O26" s="33" t="s">
        <v>1366</v>
      </c>
    </row>
    <row r="27" spans="2:18" x14ac:dyDescent="0.3">
      <c r="B27" s="367" t="s">
        <v>999</v>
      </c>
      <c r="C27" s="365" t="s">
        <v>190</v>
      </c>
      <c r="D27" s="368">
        <f>[3]Mildenhall!$I$24</f>
        <v>0</v>
      </c>
      <c r="E27" s="368">
        <f>[2]Mildenhall!$D27</f>
        <v>6000</v>
      </c>
      <c r="F27" s="368">
        <f t="shared" si="3"/>
        <v>-6000</v>
      </c>
      <c r="G27" s="366"/>
      <c r="H27" s="455"/>
      <c r="N27" s="31" t="s">
        <v>1369</v>
      </c>
      <c r="O27" s="33" t="s">
        <v>1366</v>
      </c>
      <c r="P27" s="33" t="s">
        <v>1368</v>
      </c>
    </row>
    <row r="28" spans="2:18" x14ac:dyDescent="0.3">
      <c r="B28" s="367" t="s">
        <v>1000</v>
      </c>
      <c r="C28" s="365" t="s">
        <v>191</v>
      </c>
      <c r="D28" s="368">
        <f>[3]Mildenhall!$I$25</f>
        <v>0</v>
      </c>
      <c r="E28" s="368">
        <f>[2]Mildenhall!$D28</f>
        <v>4325</v>
      </c>
      <c r="F28" s="368">
        <f t="shared" si="3"/>
        <v>-4325</v>
      </c>
      <c r="G28" s="366"/>
      <c r="H28" s="455"/>
      <c r="N28" s="31"/>
      <c r="R28" s="33" t="s">
        <v>1612</v>
      </c>
    </row>
    <row r="29" spans="2:18" x14ac:dyDescent="0.3">
      <c r="B29" s="367" t="s">
        <v>1001</v>
      </c>
      <c r="C29" s="365" t="s">
        <v>192</v>
      </c>
      <c r="D29" s="368">
        <v>0</v>
      </c>
      <c r="E29" s="368">
        <f>[2]Mildenhall!$D29</f>
        <v>2750</v>
      </c>
      <c r="F29" s="368">
        <f t="shared" si="3"/>
        <v>-2750</v>
      </c>
      <c r="G29" s="366"/>
      <c r="H29" s="455"/>
      <c r="N29" s="31" t="s">
        <v>1365</v>
      </c>
      <c r="O29" s="33" t="s">
        <v>1366</v>
      </c>
      <c r="P29" s="33" t="s">
        <v>1368</v>
      </c>
    </row>
    <row r="30" spans="2:18" x14ac:dyDescent="0.3">
      <c r="B30" s="367" t="s">
        <v>1002</v>
      </c>
      <c r="C30" s="365" t="s">
        <v>193</v>
      </c>
      <c r="D30" s="368">
        <f>[3]Mildenhall!$I$27</f>
        <v>0</v>
      </c>
      <c r="E30" s="368">
        <f>[2]Mildenhall!$D30</f>
        <v>4847</v>
      </c>
      <c r="F30" s="368">
        <f t="shared" si="3"/>
        <v>-4847</v>
      </c>
      <c r="G30" s="366"/>
      <c r="H30" s="455"/>
      <c r="N30" s="31" t="s">
        <v>1365</v>
      </c>
      <c r="O30" s="33" t="s">
        <v>1366</v>
      </c>
      <c r="P30" s="33" t="s">
        <v>1368</v>
      </c>
    </row>
    <row r="31" spans="2:18" x14ac:dyDescent="0.3">
      <c r="B31" s="367" t="s">
        <v>1003</v>
      </c>
      <c r="C31" s="365" t="s">
        <v>194</v>
      </c>
      <c r="D31" s="368">
        <f>[3]Mildenhall!$I$28</f>
        <v>0</v>
      </c>
      <c r="E31" s="368">
        <f>[2]Mildenhall!$D31</f>
        <v>2000</v>
      </c>
      <c r="F31" s="368">
        <f t="shared" si="3"/>
        <v>-2000</v>
      </c>
      <c r="G31" s="366"/>
      <c r="H31" s="455"/>
      <c r="N31" s="31" t="s">
        <v>1365</v>
      </c>
      <c r="O31" s="33" t="s">
        <v>1366</v>
      </c>
    </row>
    <row r="32" spans="2:18" x14ac:dyDescent="0.3">
      <c r="B32" s="367" t="s">
        <v>1004</v>
      </c>
      <c r="C32" s="365" t="s">
        <v>10</v>
      </c>
      <c r="D32" s="368">
        <f>[3]Mildenhall!$I$29</f>
        <v>0</v>
      </c>
      <c r="E32" s="368">
        <f>[2]Mildenhall!$D32</f>
        <v>15000</v>
      </c>
      <c r="F32" s="368">
        <f t="shared" si="3"/>
        <v>-15000</v>
      </c>
      <c r="G32" s="366"/>
      <c r="H32" s="455"/>
      <c r="N32" s="31" t="s">
        <v>1369</v>
      </c>
      <c r="O32" s="31" t="s">
        <v>1370</v>
      </c>
      <c r="P32" s="31" t="s">
        <v>1367</v>
      </c>
      <c r="R32" s="31" t="s">
        <v>1612</v>
      </c>
    </row>
    <row r="33" spans="2:18" x14ac:dyDescent="0.3">
      <c r="B33" s="367" t="s">
        <v>1005</v>
      </c>
      <c r="C33" s="365" t="s">
        <v>195</v>
      </c>
      <c r="D33" s="368">
        <f>[3]Mildenhall!$I$30</f>
        <v>0</v>
      </c>
      <c r="E33" s="368">
        <f>[2]Mildenhall!$D33</f>
        <v>6720</v>
      </c>
      <c r="F33" s="368">
        <f t="shared" si="3"/>
        <v>-6720</v>
      </c>
      <c r="G33" s="366"/>
      <c r="H33" s="455"/>
      <c r="N33" s="31" t="s">
        <v>1369</v>
      </c>
      <c r="O33" s="31" t="s">
        <v>1370</v>
      </c>
      <c r="P33" s="31" t="s">
        <v>1367</v>
      </c>
    </row>
    <row r="34" spans="2:18" x14ac:dyDescent="0.3">
      <c r="B34" s="367" t="s">
        <v>1006</v>
      </c>
      <c r="C34" s="365" t="s">
        <v>196</v>
      </c>
      <c r="D34" s="368">
        <f>[3]Mildenhall!$I$31</f>
        <v>0</v>
      </c>
      <c r="E34" s="368">
        <f>[2]Mildenhall!$D34</f>
        <v>2000</v>
      </c>
      <c r="F34" s="368">
        <f t="shared" si="3"/>
        <v>-2000</v>
      </c>
      <c r="G34" s="366"/>
      <c r="H34" s="455"/>
      <c r="N34" s="31" t="s">
        <v>1365</v>
      </c>
      <c r="O34" s="33" t="s">
        <v>1366</v>
      </c>
      <c r="P34" s="33" t="s">
        <v>1368</v>
      </c>
    </row>
    <row r="35" spans="2:18" x14ac:dyDescent="0.3">
      <c r="B35" s="367" t="s">
        <v>1631</v>
      </c>
      <c r="C35" s="365" t="s">
        <v>1630</v>
      </c>
      <c r="D35" s="368">
        <f>[3]Mildenhall!$I$32</f>
        <v>0</v>
      </c>
      <c r="E35" s="368">
        <f>[2]Mildenhall!$D35</f>
        <v>4280</v>
      </c>
      <c r="F35" s="368">
        <f t="shared" si="3"/>
        <v>-4280</v>
      </c>
      <c r="G35" s="366"/>
      <c r="H35" s="455"/>
      <c r="N35" s="31"/>
    </row>
    <row r="36" spans="2:18" x14ac:dyDescent="0.3">
      <c r="B36" s="367" t="s">
        <v>1007</v>
      </c>
      <c r="C36" s="365" t="s">
        <v>197</v>
      </c>
      <c r="D36" s="368">
        <f>[3]Mildenhall!$I$33</f>
        <v>0</v>
      </c>
      <c r="E36" s="368">
        <f>[2]Mildenhall!$D36</f>
        <v>4000</v>
      </c>
      <c r="F36" s="368">
        <f t="shared" si="3"/>
        <v>-4000</v>
      </c>
      <c r="G36" s="366"/>
      <c r="H36" s="455"/>
      <c r="N36" s="31" t="s">
        <v>1365</v>
      </c>
      <c r="O36" s="33" t="s">
        <v>1366</v>
      </c>
    </row>
    <row r="37" spans="2:18" x14ac:dyDescent="0.3">
      <c r="B37" s="367" t="s">
        <v>1008</v>
      </c>
      <c r="C37" s="365" t="s">
        <v>198</v>
      </c>
      <c r="D37" s="368">
        <f>[3]Mildenhall!$I$34</f>
        <v>0</v>
      </c>
      <c r="E37" s="368">
        <f>[2]Mildenhall!$D37</f>
        <v>6000</v>
      </c>
      <c r="F37" s="368">
        <f t="shared" si="3"/>
        <v>-6000</v>
      </c>
      <c r="G37" s="366"/>
      <c r="H37" s="455"/>
      <c r="N37" s="31" t="s">
        <v>1369</v>
      </c>
      <c r="O37" s="33" t="s">
        <v>1370</v>
      </c>
      <c r="P37" s="31" t="s">
        <v>1367</v>
      </c>
    </row>
    <row r="38" spans="2:18" x14ac:dyDescent="0.3">
      <c r="B38" s="367"/>
      <c r="C38" s="523" t="s">
        <v>606</v>
      </c>
      <c r="D38" s="402"/>
      <c r="E38" s="368"/>
      <c r="F38" s="368">
        <f t="shared" si="3"/>
        <v>0</v>
      </c>
      <c r="G38" s="366"/>
      <c r="H38" s="455"/>
      <c r="N38" s="31"/>
      <c r="P38" s="31"/>
    </row>
    <row r="39" spans="2:18" s="490" customFormat="1" ht="14.5" thickBot="1" x14ac:dyDescent="0.35">
      <c r="B39" s="472" t="s">
        <v>1009</v>
      </c>
      <c r="C39" s="473" t="s">
        <v>1633</v>
      </c>
      <c r="D39" s="474">
        <v>209211</v>
      </c>
      <c r="E39" s="474">
        <f>SUM(E22:E37)</f>
        <v>82205</v>
      </c>
      <c r="F39" s="474">
        <f>D39-E39</f>
        <v>127006</v>
      </c>
      <c r="G39" s="364">
        <f t="shared" si="0"/>
        <v>0.39290000000000003</v>
      </c>
      <c r="H39" s="530">
        <f t="shared" ref="H39" si="4">G39</f>
        <v>0.39290000000000003</v>
      </c>
    </row>
    <row r="40" spans="2:18" x14ac:dyDescent="0.3">
      <c r="B40" s="373"/>
      <c r="C40" s="365"/>
      <c r="D40" s="368"/>
      <c r="E40" s="368"/>
      <c r="F40" s="368"/>
      <c r="G40" s="456"/>
      <c r="H40" s="455"/>
    </row>
    <row r="41" spans="2:18" s="32" customFormat="1" ht="14.5" thickBot="1" x14ac:dyDescent="0.35">
      <c r="B41" s="535" t="s">
        <v>1010</v>
      </c>
      <c r="C41" s="623" t="s">
        <v>199</v>
      </c>
      <c r="D41" s="618">
        <f>[3]Mildenhall!$I$37</f>
        <v>70000</v>
      </c>
      <c r="E41" s="618">
        <f>[2]Mildenhall!$D$41</f>
        <v>40000</v>
      </c>
      <c r="F41" s="618">
        <f>D41-E41</f>
        <v>30000</v>
      </c>
      <c r="G41" s="619">
        <f t="shared" si="0"/>
        <v>0.57140000000000002</v>
      </c>
      <c r="H41" s="455">
        <f t="shared" si="1"/>
        <v>0.57140000000000002</v>
      </c>
      <c r="N41" s="33" t="s">
        <v>1369</v>
      </c>
      <c r="O41" s="33" t="s">
        <v>1370</v>
      </c>
      <c r="P41" s="33" t="s">
        <v>1367</v>
      </c>
      <c r="R41" s="32">
        <v>3926</v>
      </c>
    </row>
    <row r="42" spans="2:18" x14ac:dyDescent="0.3">
      <c r="B42" s="373"/>
      <c r="C42" s="384"/>
      <c r="D42" s="369"/>
      <c r="E42" s="369"/>
      <c r="F42" s="369"/>
      <c r="G42" s="456"/>
      <c r="H42" s="455"/>
    </row>
    <row r="43" spans="2:18" x14ac:dyDescent="0.3">
      <c r="B43" s="367" t="s">
        <v>1011</v>
      </c>
      <c r="C43" s="411" t="s">
        <v>1638</v>
      </c>
      <c r="D43" s="368">
        <f>[3]Mildenhall!$I$39</f>
        <v>12770</v>
      </c>
      <c r="E43" s="368">
        <f>[2]Mildenhall!$D$43</f>
        <v>3750</v>
      </c>
      <c r="F43" s="368">
        <f>D43-E43</f>
        <v>9020</v>
      </c>
      <c r="G43" s="366">
        <f t="shared" si="0"/>
        <v>0.29370000000000002</v>
      </c>
      <c r="H43" s="455"/>
      <c r="N43" s="33" t="s">
        <v>1365</v>
      </c>
      <c r="O43" s="33" t="s">
        <v>1366</v>
      </c>
      <c r="P43" s="33" t="s">
        <v>1368</v>
      </c>
    </row>
    <row r="44" spans="2:18" x14ac:dyDescent="0.3">
      <c r="B44" s="367" t="s">
        <v>1012</v>
      </c>
      <c r="C44" s="411" t="s">
        <v>200</v>
      </c>
      <c r="D44" s="368">
        <f>[3]Mildenhall!$I$40</f>
        <v>35366</v>
      </c>
      <c r="E44" s="368">
        <f>[2]Mildenhall!$D$44</f>
        <v>10000</v>
      </c>
      <c r="F44" s="368">
        <f>D44-E44</f>
        <v>25366</v>
      </c>
      <c r="G44" s="366">
        <f t="shared" si="0"/>
        <v>0.2828</v>
      </c>
      <c r="H44" s="455"/>
      <c r="N44" s="33" t="s">
        <v>1369</v>
      </c>
      <c r="O44" s="33" t="s">
        <v>1370</v>
      </c>
      <c r="P44" s="33" t="s">
        <v>1367</v>
      </c>
      <c r="R44" s="32">
        <v>5000</v>
      </c>
    </row>
    <row r="45" spans="2:18" x14ac:dyDescent="0.3">
      <c r="B45" s="367" t="s">
        <v>993</v>
      </c>
      <c r="C45" s="435" t="s">
        <v>184</v>
      </c>
      <c r="D45" s="368">
        <f>[3]Mildenhall!$I$41</f>
        <v>21283</v>
      </c>
      <c r="E45" s="368">
        <f>[2]Mildenhall!$D$45</f>
        <v>10000</v>
      </c>
      <c r="F45" s="368">
        <f>D45-E45</f>
        <v>11283</v>
      </c>
      <c r="G45" s="366">
        <f t="shared" si="0"/>
        <v>0.46989999999999998</v>
      </c>
      <c r="H45" s="455"/>
    </row>
    <row r="46" spans="2:18" s="32" customFormat="1" ht="14.5" thickBot="1" x14ac:dyDescent="0.35">
      <c r="B46" s="472" t="s">
        <v>1013</v>
      </c>
      <c r="C46" s="473" t="s">
        <v>201</v>
      </c>
      <c r="D46" s="474">
        <f>SUM(D43:D45)</f>
        <v>69419</v>
      </c>
      <c r="E46" s="474">
        <f>SUM(E43:E45)</f>
        <v>23750</v>
      </c>
      <c r="F46" s="474">
        <f>SUM(F43:F45)</f>
        <v>45669</v>
      </c>
      <c r="G46" s="364">
        <f t="shared" si="0"/>
        <v>0.34210000000000002</v>
      </c>
      <c r="H46" s="455">
        <f t="shared" si="1"/>
        <v>0.34210000000000002</v>
      </c>
      <c r="R46" s="531">
        <f>SUM(R40:R44)</f>
        <v>8926</v>
      </c>
    </row>
    <row r="47" spans="2:18" s="32" customFormat="1" x14ac:dyDescent="0.3">
      <c r="B47" s="532"/>
      <c r="C47" s="411"/>
      <c r="D47" s="497"/>
      <c r="E47" s="497"/>
      <c r="F47" s="497"/>
      <c r="G47" s="499"/>
      <c r="H47" s="455"/>
      <c r="R47" s="415"/>
    </row>
    <row r="48" spans="2:18" s="32" customFormat="1" x14ac:dyDescent="0.3">
      <c r="B48" s="532"/>
      <c r="C48" s="415" t="s">
        <v>184</v>
      </c>
      <c r="D48" s="497"/>
      <c r="E48" s="497"/>
      <c r="F48" s="497"/>
      <c r="G48" s="499"/>
      <c r="H48" s="455"/>
      <c r="R48" s="415"/>
    </row>
    <row r="49" spans="2:8" x14ac:dyDescent="0.3">
      <c r="B49" s="373"/>
      <c r="C49" s="415" t="s">
        <v>1639</v>
      </c>
      <c r="D49" s="368"/>
      <c r="E49" s="368"/>
      <c r="F49" s="368">
        <f>D49-E49</f>
        <v>0</v>
      </c>
      <c r="G49" s="456"/>
      <c r="H49" s="455"/>
    </row>
    <row r="50" spans="2:8" s="32" customFormat="1" ht="14.5" thickBot="1" x14ac:dyDescent="0.35">
      <c r="B50" s="301"/>
      <c r="C50" s="302" t="s">
        <v>607</v>
      </c>
      <c r="D50" s="363">
        <f>D46+D41+D39+D16+D8-D38-D49+D18</f>
        <v>429266</v>
      </c>
      <c r="E50" s="363">
        <f>E46+E41+E39+E16+E8-E38-E49+E18</f>
        <v>176255</v>
      </c>
      <c r="F50" s="363">
        <f>F46+F41+F39+F16+F8-F38-F49+F18</f>
        <v>253011</v>
      </c>
      <c r="G50" s="457">
        <f t="shared" si="0"/>
        <v>0.41060000000000002</v>
      </c>
    </row>
    <row r="51" spans="2:8" s="32" customFormat="1" x14ac:dyDescent="0.3">
      <c r="B51" s="436"/>
      <c r="C51" s="533"/>
      <c r="D51" s="440"/>
      <c r="E51" s="440"/>
      <c r="F51" s="440"/>
      <c r="G51" s="534"/>
    </row>
    <row r="52" spans="2:8" s="32" customFormat="1" x14ac:dyDescent="0.3">
      <c r="B52" s="436"/>
      <c r="C52" s="533"/>
      <c r="D52" s="440"/>
      <c r="E52" s="440"/>
      <c r="F52" s="440"/>
      <c r="G52" s="534"/>
    </row>
    <row r="53" spans="2:8" s="32" customFormat="1" ht="14.5" thickBot="1" x14ac:dyDescent="0.35">
      <c r="B53" s="301"/>
      <c r="C53" s="302" t="s">
        <v>1530</v>
      </c>
      <c r="D53" s="363">
        <f>D50+D38+D19+D9</f>
        <v>429266</v>
      </c>
      <c r="E53" s="363">
        <f t="shared" ref="E53:F53" si="5">E50+E38+E19+E9</f>
        <v>176255</v>
      </c>
      <c r="F53" s="363">
        <f t="shared" si="5"/>
        <v>253011</v>
      </c>
      <c r="G53" s="457">
        <f t="shared" ref="G53" si="6">ROUND((E53/D53),4)</f>
        <v>0.41060000000000002</v>
      </c>
    </row>
    <row r="54" spans="2:8" x14ac:dyDescent="0.3">
      <c r="B54" s="367"/>
      <c r="C54" s="365"/>
      <c r="D54" s="368"/>
      <c r="E54" s="368"/>
      <c r="F54" s="368"/>
      <c r="G54" s="366"/>
    </row>
    <row r="55" spans="2:8" ht="14.5" thickBot="1" x14ac:dyDescent="0.35">
      <c r="B55" s="535"/>
      <c r="C55" s="302" t="s">
        <v>1657</v>
      </c>
      <c r="D55" s="363">
        <f>[5]Summary!$D$12</f>
        <v>335652</v>
      </c>
      <c r="E55" s="363">
        <f>[6]Mildenhall!$D$49</f>
        <v>170435</v>
      </c>
      <c r="F55" s="363">
        <f>D55-E55</f>
        <v>165217</v>
      </c>
      <c r="G55" s="457">
        <f>E55/D55</f>
        <v>0.5077729314885655</v>
      </c>
    </row>
  </sheetData>
  <mergeCells count="1">
    <mergeCell ref="D4:E4"/>
  </mergeCells>
  <dataValidations disablePrompts="1" count="3">
    <dataValidation type="list" allowBlank="1" showInputMessage="1" showErrorMessage="1" sqref="P8:P9 P22:P38" xr:uid="{00000000-0002-0000-0B00-000000000000}">
      <formula1>"Every 2 Months,Monthly,Quarterly,Other,No Pattern"</formula1>
    </dataValidation>
    <dataValidation type="list" allowBlank="1" showInputMessage="1" showErrorMessage="1" sqref="O8:O9 O22:O38" xr:uid="{00000000-0002-0000-0B00-000001000000}">
      <formula1>"Yes,No"</formula1>
    </dataValidation>
    <dataValidation type="list" allowBlank="1" showInputMessage="1" showErrorMessage="1" sqref="N8:N9 N22:N38" xr:uid="{00000000-0002-0000-0B00-000002000000}">
      <formula1>"BACS,Cheque,Both,CBF Deposit"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R55"/>
  <sheetViews>
    <sheetView topLeftCell="C38" zoomScaleNormal="100" workbookViewId="0">
      <selection activeCell="C29" sqref="C29:G29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43.33203125" style="33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19.25" style="33" hidden="1" customWidth="1"/>
    <col min="12" max="12" width="9" style="33" hidden="1" customWidth="1"/>
    <col min="13" max="13" width="2.75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7" width="9" style="33" customWidth="1"/>
    <col min="18" max="18" width="9.33203125" style="33" bestFit="1" customWidth="1"/>
    <col min="19" max="16384" width="8.58203125" style="33"/>
  </cols>
  <sheetData>
    <row r="1" spans="2:16" ht="14.5" thickBot="1" x14ac:dyDescent="0.35">
      <c r="B1" s="210"/>
      <c r="C1" s="210"/>
      <c r="D1" s="210"/>
      <c r="E1" s="210"/>
      <c r="F1" s="210"/>
      <c r="G1" s="211"/>
    </row>
    <row r="2" spans="2:16" s="404" customFormat="1" ht="23" thickBot="1" x14ac:dyDescent="0.5">
      <c r="B2" s="536"/>
      <c r="C2" s="537" t="str">
        <f>Summary!A1</f>
        <v>Parish Share 2022</v>
      </c>
      <c r="D2" s="538"/>
      <c r="E2" s="538"/>
      <c r="F2" s="538"/>
      <c r="G2" s="539"/>
      <c r="N2" s="404" t="s">
        <v>554</v>
      </c>
    </row>
    <row r="3" spans="2:16" ht="14.5" thickBot="1" x14ac:dyDescent="0.35">
      <c r="B3" s="540"/>
      <c r="C3" s="541"/>
      <c r="D3" s="541"/>
      <c r="E3" s="541"/>
      <c r="F3" s="541"/>
      <c r="G3" s="366"/>
      <c r="J3" s="33" t="s">
        <v>544</v>
      </c>
      <c r="K3" s="33" t="s">
        <v>545</v>
      </c>
      <c r="L3" s="33">
        <f>COUNTIF(H8:H57,"&gt;1")</f>
        <v>0</v>
      </c>
    </row>
    <row r="4" spans="2:16" s="32" customFormat="1" ht="18" thickBot="1" x14ac:dyDescent="0.4">
      <c r="B4" s="542"/>
      <c r="C4" s="543" t="s">
        <v>222</v>
      </c>
      <c r="D4" s="668">
        <f>Period</f>
        <v>44804</v>
      </c>
      <c r="E4" s="668"/>
      <c r="F4" s="544"/>
      <c r="G4" s="441"/>
      <c r="J4" s="33"/>
      <c r="K4" s="33" t="s">
        <v>543</v>
      </c>
      <c r="L4" s="33">
        <f>COUNTIF(H8:H57,1)</f>
        <v>0</v>
      </c>
    </row>
    <row r="5" spans="2:16" ht="14.5" thickBot="1" x14ac:dyDescent="0.35">
      <c r="B5" s="540"/>
      <c r="C5" s="541"/>
      <c r="D5" s="541"/>
      <c r="E5" s="541"/>
      <c r="F5" s="541"/>
      <c r="G5" s="366"/>
      <c r="J5" s="32"/>
      <c r="K5" s="33" t="s">
        <v>1538</v>
      </c>
      <c r="L5" s="33">
        <v>3</v>
      </c>
    </row>
    <row r="6" spans="2:16" s="32" customFormat="1" ht="14.5" thickBot="1" x14ac:dyDescent="0.35">
      <c r="B6" s="545" t="s">
        <v>592</v>
      </c>
      <c r="C6" s="546" t="s">
        <v>28</v>
      </c>
      <c r="D6" s="546" t="s">
        <v>1</v>
      </c>
      <c r="E6" s="546" t="s">
        <v>2</v>
      </c>
      <c r="F6" s="546" t="s">
        <v>3</v>
      </c>
      <c r="G6" s="547" t="s">
        <v>4</v>
      </c>
      <c r="H6" s="32" t="s">
        <v>552</v>
      </c>
      <c r="K6" s="33" t="s">
        <v>1539</v>
      </c>
      <c r="L6" s="33">
        <v>5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429"/>
      <c r="C7" s="459"/>
      <c r="D7" s="459"/>
      <c r="E7" s="459"/>
      <c r="F7" s="459"/>
      <c r="G7" s="461"/>
      <c r="K7" s="33" t="s">
        <v>547</v>
      </c>
      <c r="L7" s="33">
        <v>0</v>
      </c>
    </row>
    <row r="8" spans="2:16" x14ac:dyDescent="0.3">
      <c r="B8" s="367" t="s">
        <v>1034</v>
      </c>
      <c r="C8" s="365" t="s">
        <v>223</v>
      </c>
      <c r="D8" s="368">
        <f>[3]Sudbury!$I$8</f>
        <v>11182</v>
      </c>
      <c r="E8" s="368">
        <f>[2]Sudbury!$D8</f>
        <v>5500</v>
      </c>
      <c r="F8" s="368">
        <f>D8-E8</f>
        <v>5682</v>
      </c>
      <c r="G8" s="366">
        <f t="shared" ref="G8:G9" si="0">ROUND((E8/D8),4)</f>
        <v>0.4919</v>
      </c>
      <c r="H8" s="455"/>
      <c r="L8" s="33">
        <f>SUM(L3:L7)</f>
        <v>8</v>
      </c>
      <c r="N8" s="33" t="s">
        <v>1369</v>
      </c>
      <c r="O8" s="33" t="s">
        <v>1366</v>
      </c>
      <c r="P8" s="33" t="s">
        <v>1367</v>
      </c>
    </row>
    <row r="9" spans="2:16" x14ac:dyDescent="0.3">
      <c r="B9" s="367" t="s">
        <v>1035</v>
      </c>
      <c r="C9" s="365" t="s">
        <v>224</v>
      </c>
      <c r="D9" s="368">
        <f>[3]Sudbury!$I$9</f>
        <v>11182</v>
      </c>
      <c r="E9" s="368">
        <f>[2]Sudbury!$D9</f>
        <v>6682</v>
      </c>
      <c r="F9" s="368">
        <f>D9-E9</f>
        <v>4500</v>
      </c>
      <c r="G9" s="366">
        <f t="shared" si="0"/>
        <v>0.59760000000000002</v>
      </c>
      <c r="H9" s="455"/>
      <c r="N9" s="33" t="s">
        <v>1372</v>
      </c>
      <c r="O9" s="33" t="s">
        <v>1370</v>
      </c>
      <c r="P9" s="33" t="s">
        <v>1367</v>
      </c>
    </row>
    <row r="10" spans="2:16" x14ac:dyDescent="0.3">
      <c r="B10" s="373"/>
      <c r="C10" s="384" t="s">
        <v>606</v>
      </c>
      <c r="D10" s="369"/>
      <c r="E10" s="369"/>
      <c r="F10" s="368">
        <f>D10-E10</f>
        <v>0</v>
      </c>
      <c r="G10" s="456"/>
      <c r="H10" s="455"/>
    </row>
    <row r="11" spans="2:16" s="32" customFormat="1" ht="14.5" thickBot="1" x14ac:dyDescent="0.35">
      <c r="B11" s="472" t="s">
        <v>1036</v>
      </c>
      <c r="C11" s="302" t="s">
        <v>225</v>
      </c>
      <c r="D11" s="363">
        <f>SUM(D8:D10)</f>
        <v>22364</v>
      </c>
      <c r="E11" s="363">
        <f>SUM(E8:E9)</f>
        <v>12182</v>
      </c>
      <c r="F11" s="363">
        <f>D11-E11</f>
        <v>10182</v>
      </c>
      <c r="G11" s="403">
        <f>ROUND((E11/D11),4)</f>
        <v>0.54469999999999996</v>
      </c>
      <c r="H11" s="455">
        <f t="shared" ref="H11" si="1">G11</f>
        <v>0.54469999999999996</v>
      </c>
      <c r="K11" s="33"/>
    </row>
    <row r="12" spans="2:16" x14ac:dyDescent="0.3">
      <c r="B12" s="373"/>
      <c r="C12" s="384"/>
      <c r="D12" s="369"/>
      <c r="E12" s="369"/>
      <c r="F12" s="369"/>
      <c r="G12" s="456"/>
      <c r="H12" s="455"/>
    </row>
    <row r="13" spans="2:16" x14ac:dyDescent="0.3">
      <c r="B13" s="367" t="s">
        <v>1037</v>
      </c>
      <c r="C13" s="365" t="s">
        <v>226</v>
      </c>
      <c r="D13" s="368">
        <f>[3]Sudbury!$I$12</f>
        <v>27492</v>
      </c>
      <c r="E13" s="368">
        <f>[2]Sudbury!$D13</f>
        <v>4500</v>
      </c>
      <c r="F13" s="368">
        <f t="shared" ref="F13:F17" si="2">D13-E13</f>
        <v>22992</v>
      </c>
      <c r="G13" s="366">
        <f t="shared" ref="G13:G17" si="3">ROUND((E13/D13),4)</f>
        <v>0.16370000000000001</v>
      </c>
      <c r="H13" s="455"/>
      <c r="N13" s="33" t="s">
        <v>1365</v>
      </c>
      <c r="O13" s="33" t="s">
        <v>1366</v>
      </c>
      <c r="P13" s="33" t="s">
        <v>1368</v>
      </c>
    </row>
    <row r="14" spans="2:16" x14ac:dyDescent="0.3">
      <c r="B14" s="367" t="s">
        <v>1038</v>
      </c>
      <c r="C14" s="365" t="s">
        <v>227</v>
      </c>
      <c r="D14" s="368">
        <f>[3]Sudbury!$I$13</f>
        <v>10309.5</v>
      </c>
      <c r="E14" s="368">
        <f>[2]Sudbury!$D14</f>
        <v>3500</v>
      </c>
      <c r="F14" s="368">
        <f t="shared" si="2"/>
        <v>6809.5</v>
      </c>
      <c r="G14" s="366">
        <f t="shared" si="3"/>
        <v>0.33950000000000002</v>
      </c>
      <c r="H14" s="455"/>
      <c r="N14" s="33" t="s">
        <v>1365</v>
      </c>
      <c r="O14" s="33" t="s">
        <v>1366</v>
      </c>
    </row>
    <row r="15" spans="2:16" x14ac:dyDescent="0.3">
      <c r="B15" s="367" t="s">
        <v>1039</v>
      </c>
      <c r="C15" s="365" t="s">
        <v>228</v>
      </c>
      <c r="D15" s="368">
        <f>[3]Sudbury!$I$14</f>
        <v>10309.5</v>
      </c>
      <c r="E15" s="368">
        <f>[2]Sudbury!$D15</f>
        <v>1500</v>
      </c>
      <c r="F15" s="368">
        <f t="shared" si="2"/>
        <v>8809.5</v>
      </c>
      <c r="G15" s="366">
        <f t="shared" si="3"/>
        <v>0.14549999999999999</v>
      </c>
      <c r="H15" s="455"/>
      <c r="N15" s="33" t="s">
        <v>1365</v>
      </c>
      <c r="O15" s="33" t="s">
        <v>1366</v>
      </c>
      <c r="P15" s="33" t="s">
        <v>1368</v>
      </c>
    </row>
    <row r="16" spans="2:16" x14ac:dyDescent="0.3">
      <c r="B16" s="367" t="s">
        <v>1040</v>
      </c>
      <c r="C16" s="365" t="s">
        <v>229</v>
      </c>
      <c r="D16" s="368">
        <f>[3]Sudbury!$I$15</f>
        <v>10309.5</v>
      </c>
      <c r="E16" s="368">
        <f>[2]Sudbury!$D16</f>
        <v>2250</v>
      </c>
      <c r="F16" s="368">
        <f t="shared" si="2"/>
        <v>8059.5</v>
      </c>
      <c r="G16" s="366">
        <f t="shared" si="3"/>
        <v>0.21820000000000001</v>
      </c>
      <c r="H16" s="455"/>
      <c r="N16" s="33" t="s">
        <v>1365</v>
      </c>
      <c r="O16" s="33" t="s">
        <v>1366</v>
      </c>
    </row>
    <row r="17" spans="2:16" x14ac:dyDescent="0.3">
      <c r="B17" s="367" t="s">
        <v>1041</v>
      </c>
      <c r="C17" s="365" t="s">
        <v>230</v>
      </c>
      <c r="D17" s="368">
        <f>[3]Sudbury!$I$16</f>
        <v>10309.5</v>
      </c>
      <c r="E17" s="368">
        <f>[2]Sudbury!$D17</f>
        <v>6672</v>
      </c>
      <c r="F17" s="368">
        <f t="shared" si="2"/>
        <v>3637.5</v>
      </c>
      <c r="G17" s="366">
        <f t="shared" si="3"/>
        <v>0.6472</v>
      </c>
      <c r="H17" s="455"/>
      <c r="N17" s="33" t="s">
        <v>1369</v>
      </c>
      <c r="O17" s="33" t="s">
        <v>1370</v>
      </c>
      <c r="P17" s="33" t="s">
        <v>1367</v>
      </c>
    </row>
    <row r="18" spans="2:16" x14ac:dyDescent="0.3">
      <c r="B18" s="373"/>
      <c r="C18" s="384" t="s">
        <v>1378</v>
      </c>
      <c r="D18" s="368">
        <f>[3]Sudbury!$I$17</f>
        <v>0</v>
      </c>
      <c r="E18" s="368"/>
      <c r="F18" s="369"/>
      <c r="G18" s="366"/>
      <c r="H18" s="455"/>
    </row>
    <row r="19" spans="2:16" s="490" customFormat="1" ht="14.5" thickBot="1" x14ac:dyDescent="0.35">
      <c r="B19" s="472" t="s">
        <v>1042</v>
      </c>
      <c r="C19" s="473" t="s">
        <v>1379</v>
      </c>
      <c r="D19" s="474">
        <f>SUM(D13:D18)</f>
        <v>68730</v>
      </c>
      <c r="E19" s="474">
        <f>SUM(E13:E18)</f>
        <v>18422</v>
      </c>
      <c r="F19" s="474">
        <f>D19-E19</f>
        <v>50308</v>
      </c>
      <c r="G19" s="403">
        <f t="shared" ref="G19:G45" si="4">ROUND((E19/D19),4)</f>
        <v>0.26800000000000002</v>
      </c>
      <c r="H19" s="491">
        <f>G19</f>
        <v>0.26800000000000002</v>
      </c>
    </row>
    <row r="20" spans="2:16" x14ac:dyDescent="0.3">
      <c r="B20" s="429"/>
      <c r="C20" s="459"/>
      <c r="D20" s="431"/>
      <c r="E20" s="431"/>
      <c r="F20" s="431"/>
      <c r="G20" s="461"/>
      <c r="H20" s="455"/>
    </row>
    <row r="21" spans="2:16" x14ac:dyDescent="0.3">
      <c r="B21" s="367" t="s">
        <v>1043</v>
      </c>
      <c r="C21" s="365" t="s">
        <v>231</v>
      </c>
      <c r="D21" s="368">
        <f>[3]Sudbury!$I$20</f>
        <v>8664</v>
      </c>
      <c r="E21" s="368">
        <f>[2]Sudbury!$D21</f>
        <v>6960</v>
      </c>
      <c r="F21" s="368">
        <f>D21-E21</f>
        <v>1704</v>
      </c>
      <c r="G21" s="366">
        <f t="shared" si="4"/>
        <v>0.80330000000000001</v>
      </c>
      <c r="H21" s="455"/>
      <c r="N21" s="33" t="s">
        <v>1365</v>
      </c>
      <c r="O21" s="33" t="s">
        <v>1366</v>
      </c>
      <c r="P21" s="33" t="s">
        <v>1368</v>
      </c>
    </row>
    <row r="22" spans="2:16" x14ac:dyDescent="0.3">
      <c r="B22" s="367" t="s">
        <v>1044</v>
      </c>
      <c r="C22" s="365" t="s">
        <v>232</v>
      </c>
      <c r="D22" s="368">
        <f>[3]Sudbury!$I$21</f>
        <v>55262</v>
      </c>
      <c r="E22" s="368">
        <f>[2]Sudbury!$D22</f>
        <v>27000</v>
      </c>
      <c r="F22" s="368">
        <f>D22-E22</f>
        <v>28262</v>
      </c>
      <c r="G22" s="366">
        <f t="shared" si="4"/>
        <v>0.48859999999999998</v>
      </c>
      <c r="H22" s="455"/>
      <c r="N22" s="33" t="s">
        <v>1372</v>
      </c>
      <c r="O22" s="33" t="s">
        <v>1370</v>
      </c>
      <c r="P22" s="33" t="s">
        <v>1367</v>
      </c>
    </row>
    <row r="23" spans="2:16" x14ac:dyDescent="0.3">
      <c r="B23" s="367" t="s">
        <v>1045</v>
      </c>
      <c r="C23" s="365" t="s">
        <v>233</v>
      </c>
      <c r="D23" s="368">
        <f>[3]Sudbury!$I$22</f>
        <v>10563</v>
      </c>
      <c r="E23" s="368">
        <f>[2]Sudbury!$D23</f>
        <v>7392</v>
      </c>
      <c r="F23" s="368">
        <f>D23-E23</f>
        <v>3171</v>
      </c>
      <c r="G23" s="366">
        <f t="shared" si="4"/>
        <v>0.69979999999999998</v>
      </c>
      <c r="H23" s="455"/>
      <c r="N23" s="33" t="s">
        <v>1369</v>
      </c>
      <c r="O23" s="33" t="s">
        <v>1370</v>
      </c>
      <c r="P23" s="33" t="s">
        <v>1367</v>
      </c>
    </row>
    <row r="24" spans="2:16" s="32" customFormat="1" ht="14.5" thickBot="1" x14ac:dyDescent="0.35">
      <c r="B24" s="301" t="s">
        <v>1046</v>
      </c>
      <c r="C24" s="302" t="s">
        <v>234</v>
      </c>
      <c r="D24" s="363">
        <f>SUM(D21:D23)</f>
        <v>74489</v>
      </c>
      <c r="E24" s="363">
        <f>SUM(E21:E23)</f>
        <v>41352</v>
      </c>
      <c r="F24" s="363">
        <f>D24-E24</f>
        <v>33137</v>
      </c>
      <c r="G24" s="403">
        <f t="shared" si="4"/>
        <v>0.55510000000000004</v>
      </c>
      <c r="H24" s="548">
        <f>G24</f>
        <v>0.55510000000000004</v>
      </c>
    </row>
    <row r="25" spans="2:16" x14ac:dyDescent="0.3">
      <c r="B25" s="429"/>
      <c r="C25" s="459"/>
      <c r="D25" s="431"/>
      <c r="E25" s="431"/>
      <c r="F25" s="431"/>
      <c r="G25" s="461"/>
      <c r="H25" s="455"/>
    </row>
    <row r="26" spans="2:16" x14ac:dyDescent="0.3">
      <c r="B26" s="367" t="s">
        <v>1047</v>
      </c>
      <c r="C26" s="365" t="s">
        <v>235</v>
      </c>
      <c r="D26" s="368">
        <f>[3]Sudbury!$I$25</f>
        <v>27450</v>
      </c>
      <c r="E26" s="368">
        <f>[2]Sudbury!$D26</f>
        <v>12000</v>
      </c>
      <c r="F26" s="368">
        <f t="shared" ref="F26:F30" si="5">D26-E26</f>
        <v>15450</v>
      </c>
      <c r="G26" s="366">
        <f t="shared" ref="G26:G31" si="6">ROUND((E26/D26),4)</f>
        <v>0.43719999999999998</v>
      </c>
      <c r="H26" s="455"/>
      <c r="N26" s="33" t="s">
        <v>1369</v>
      </c>
      <c r="O26" s="33" t="s">
        <v>1370</v>
      </c>
      <c r="P26" s="33" t="s">
        <v>1367</v>
      </c>
    </row>
    <row r="27" spans="2:16" x14ac:dyDescent="0.3">
      <c r="B27" s="367" t="s">
        <v>1048</v>
      </c>
      <c r="C27" s="365" t="s">
        <v>236</v>
      </c>
      <c r="D27" s="368">
        <f>[3]Sudbury!$I$26</f>
        <v>23528</v>
      </c>
      <c r="E27" s="368">
        <f>[2]Sudbury!$D27</f>
        <v>6000</v>
      </c>
      <c r="F27" s="368">
        <f t="shared" si="5"/>
        <v>17528</v>
      </c>
      <c r="G27" s="366">
        <f t="shared" si="6"/>
        <v>0.255</v>
      </c>
      <c r="H27" s="455"/>
      <c r="N27" s="33" t="s">
        <v>1365</v>
      </c>
      <c r="O27" s="33" t="s">
        <v>1366</v>
      </c>
    </row>
    <row r="28" spans="2:16" x14ac:dyDescent="0.3">
      <c r="B28" s="367" t="s">
        <v>1049</v>
      </c>
      <c r="C28" s="365" t="s">
        <v>237</v>
      </c>
      <c r="D28" s="368">
        <f>[3]Sudbury!$I$27</f>
        <v>4525</v>
      </c>
      <c r="E28" s="368">
        <f>[2]Sudbury!$D28</f>
        <v>1000</v>
      </c>
      <c r="F28" s="368">
        <f t="shared" si="5"/>
        <v>3525</v>
      </c>
      <c r="G28" s="366">
        <f t="shared" si="6"/>
        <v>0.221</v>
      </c>
      <c r="H28" s="455"/>
      <c r="N28" s="33" t="s">
        <v>1365</v>
      </c>
      <c r="O28" s="33" t="s">
        <v>1366</v>
      </c>
    </row>
    <row r="29" spans="2:16" x14ac:dyDescent="0.3">
      <c r="B29" s="367" t="s">
        <v>1050</v>
      </c>
      <c r="C29" s="636" t="s">
        <v>238</v>
      </c>
      <c r="D29" s="637">
        <f>[3]Sudbury!$I$28</f>
        <v>4827</v>
      </c>
      <c r="E29" s="637">
        <f>[2]Sudbury!$D29</f>
        <v>0</v>
      </c>
      <c r="F29" s="637">
        <f t="shared" si="5"/>
        <v>4827</v>
      </c>
      <c r="G29" s="638">
        <f t="shared" si="6"/>
        <v>0</v>
      </c>
      <c r="H29" s="455"/>
      <c r="N29" s="33" t="s">
        <v>1365</v>
      </c>
      <c r="O29" s="33" t="s">
        <v>1366</v>
      </c>
    </row>
    <row r="30" spans="2:16" x14ac:dyDescent="0.3">
      <c r="B30" s="367"/>
      <c r="C30" s="384" t="s">
        <v>606</v>
      </c>
      <c r="D30" s="368"/>
      <c r="E30" s="368"/>
      <c r="F30" s="368">
        <f t="shared" si="5"/>
        <v>0</v>
      </c>
      <c r="G30" s="366"/>
      <c r="H30" s="455"/>
    </row>
    <row r="31" spans="2:16" s="32" customFormat="1" ht="14.5" thickBot="1" x14ac:dyDescent="0.35">
      <c r="B31" s="301" t="s">
        <v>1051</v>
      </c>
      <c r="C31" s="302" t="s">
        <v>239</v>
      </c>
      <c r="D31" s="363">
        <f>SUM(D26:D30)</f>
        <v>60330</v>
      </c>
      <c r="E31" s="363">
        <f>SUM(E26:E29)</f>
        <v>19000</v>
      </c>
      <c r="F31" s="363">
        <f>D31-E31</f>
        <v>41330</v>
      </c>
      <c r="G31" s="403">
        <f t="shared" si="6"/>
        <v>0.31490000000000001</v>
      </c>
      <c r="H31" s="491">
        <f>G31</f>
        <v>0.31490000000000001</v>
      </c>
    </row>
    <row r="32" spans="2:16" x14ac:dyDescent="0.3">
      <c r="B32" s="429"/>
      <c r="C32" s="459"/>
      <c r="D32" s="431"/>
      <c r="E32" s="431"/>
      <c r="F32" s="431"/>
      <c r="G32" s="461"/>
      <c r="H32" s="455"/>
    </row>
    <row r="33" spans="2:18" s="32" customFormat="1" x14ac:dyDescent="0.3">
      <c r="B33" s="367" t="s">
        <v>1052</v>
      </c>
      <c r="C33" s="365" t="s">
        <v>240</v>
      </c>
      <c r="D33" s="368">
        <f>[3]Sudbury!$I$31</f>
        <v>51032</v>
      </c>
      <c r="E33" s="368">
        <f>[2]Sudbury!$D33</f>
        <v>8000</v>
      </c>
      <c r="F33" s="368">
        <f>D33-E33</f>
        <v>43032</v>
      </c>
      <c r="G33" s="549">
        <f t="shared" si="4"/>
        <v>0.15679999999999999</v>
      </c>
      <c r="H33" s="455"/>
      <c r="N33" s="33" t="s">
        <v>1369</v>
      </c>
      <c r="O33" s="33" t="s">
        <v>1366</v>
      </c>
      <c r="P33" s="33"/>
    </row>
    <row r="34" spans="2:18" s="32" customFormat="1" x14ac:dyDescent="0.3">
      <c r="B34" s="367"/>
      <c r="C34" s="365" t="s">
        <v>606</v>
      </c>
      <c r="D34" s="368"/>
      <c r="E34" s="368"/>
      <c r="F34" s="368">
        <f>D34-E34</f>
        <v>0</v>
      </c>
      <c r="G34" s="366"/>
      <c r="H34" s="455"/>
      <c r="N34" s="33"/>
      <c r="O34" s="33"/>
      <c r="P34" s="33"/>
    </row>
    <row r="35" spans="2:18" s="32" customFormat="1" ht="14.5" thickBot="1" x14ac:dyDescent="0.35">
      <c r="B35" s="301"/>
      <c r="C35" s="302" t="s">
        <v>240</v>
      </c>
      <c r="D35" s="363">
        <f>D33+D34</f>
        <v>51032</v>
      </c>
      <c r="E35" s="363">
        <f>E33+E34</f>
        <v>8000</v>
      </c>
      <c r="F35" s="363">
        <f t="shared" ref="F35" si="7">D35-E35</f>
        <v>43032</v>
      </c>
      <c r="G35" s="403">
        <f t="shared" si="4"/>
        <v>0.15679999999999999</v>
      </c>
      <c r="H35" s="491">
        <f>G35</f>
        <v>0.15679999999999999</v>
      </c>
      <c r="N35" s="33"/>
      <c r="O35" s="33"/>
      <c r="P35" s="33"/>
    </row>
    <row r="36" spans="2:18" x14ac:dyDescent="0.3">
      <c r="B36" s="373"/>
      <c r="C36" s="459"/>
      <c r="D36" s="368"/>
      <c r="E36" s="431"/>
      <c r="F36" s="431"/>
      <c r="G36" s="456"/>
      <c r="H36" s="455"/>
    </row>
    <row r="37" spans="2:18" s="32" customFormat="1" x14ac:dyDescent="0.3">
      <c r="B37" s="367" t="s">
        <v>1053</v>
      </c>
      <c r="C37" s="365" t="s">
        <v>241</v>
      </c>
      <c r="D37" s="434">
        <f>[3]Sudbury!$I$34</f>
        <v>36164</v>
      </c>
      <c r="E37" s="368">
        <f>[2]Sudbury!$D37</f>
        <v>10000</v>
      </c>
      <c r="F37" s="368">
        <f>D37-E37</f>
        <v>26164</v>
      </c>
      <c r="G37" s="549">
        <f t="shared" si="4"/>
        <v>0.27650000000000002</v>
      </c>
      <c r="H37" s="455"/>
      <c r="N37" s="33" t="s">
        <v>1365</v>
      </c>
      <c r="O37" s="33" t="s">
        <v>1366</v>
      </c>
      <c r="P37" s="33"/>
    </row>
    <row r="38" spans="2:18" s="32" customFormat="1" x14ac:dyDescent="0.3">
      <c r="B38" s="550"/>
      <c r="C38" s="365" t="s">
        <v>606</v>
      </c>
      <c r="D38" s="369"/>
      <c r="E38" s="551"/>
      <c r="F38" s="368">
        <f>D38-E38</f>
        <v>0</v>
      </c>
      <c r="G38" s="552"/>
      <c r="H38" s="455"/>
      <c r="N38" s="33"/>
      <c r="O38" s="33"/>
      <c r="P38" s="33"/>
    </row>
    <row r="39" spans="2:18" s="32" customFormat="1" ht="14.5" thickBot="1" x14ac:dyDescent="0.35">
      <c r="B39" s="301"/>
      <c r="C39" s="302" t="s">
        <v>241</v>
      </c>
      <c r="D39" s="363">
        <f>D37+D38</f>
        <v>36164</v>
      </c>
      <c r="E39" s="363">
        <f t="shared" ref="E39:F39" si="8">E37+E38</f>
        <v>10000</v>
      </c>
      <c r="F39" s="363">
        <f t="shared" si="8"/>
        <v>26164</v>
      </c>
      <c r="G39" s="403">
        <f t="shared" si="4"/>
        <v>0.27650000000000002</v>
      </c>
      <c r="H39" s="455">
        <f t="shared" ref="H39:H45" si="9">G39</f>
        <v>0.27650000000000002</v>
      </c>
      <c r="N39" s="33"/>
      <c r="O39" s="33"/>
      <c r="P39" s="33"/>
    </row>
    <row r="40" spans="2:18" x14ac:dyDescent="0.3">
      <c r="B40" s="373"/>
      <c r="C40" s="459"/>
      <c r="D40" s="431"/>
      <c r="E40" s="431"/>
      <c r="F40" s="431"/>
      <c r="G40" s="456"/>
      <c r="H40" s="455"/>
    </row>
    <row r="41" spans="2:18" s="32" customFormat="1" x14ac:dyDescent="0.3">
      <c r="B41" s="481" t="s">
        <v>1054</v>
      </c>
      <c r="C41" s="630" t="s">
        <v>242</v>
      </c>
      <c r="D41" s="620">
        <f>[3]Sudbury!$I$36</f>
        <v>46778</v>
      </c>
      <c r="E41" s="620">
        <f>[2]Sudbury!$D$41</f>
        <v>31328</v>
      </c>
      <c r="F41" s="620">
        <f>D41-E41</f>
        <v>15450</v>
      </c>
      <c r="G41" s="629">
        <f t="shared" si="4"/>
        <v>0.66969999999999996</v>
      </c>
      <c r="H41" s="467">
        <f t="shared" si="9"/>
        <v>0.66969999999999996</v>
      </c>
      <c r="N41" s="33" t="s">
        <v>1365</v>
      </c>
      <c r="O41" s="33" t="s">
        <v>1366</v>
      </c>
      <c r="P41" s="33" t="s">
        <v>1367</v>
      </c>
    </row>
    <row r="42" spans="2:18" x14ac:dyDescent="0.3">
      <c r="B42" s="373"/>
      <c r="C42" s="384"/>
      <c r="D42" s="369"/>
      <c r="E42" s="369"/>
      <c r="F42" s="369"/>
      <c r="G42" s="456"/>
      <c r="H42" s="455"/>
    </row>
    <row r="43" spans="2:18" x14ac:dyDescent="0.3">
      <c r="B43" s="367" t="s">
        <v>1055</v>
      </c>
      <c r="C43" s="365" t="s">
        <v>243</v>
      </c>
      <c r="D43" s="368">
        <f>[3]Sudbury!$I$38</f>
        <v>9663.92</v>
      </c>
      <c r="E43" s="368">
        <f>[2]Sudbury!$D$43</f>
        <v>6440</v>
      </c>
      <c r="F43" s="368">
        <f>D43-E43</f>
        <v>3223.92</v>
      </c>
      <c r="G43" s="366">
        <f t="shared" si="4"/>
        <v>0.66639999999999999</v>
      </c>
      <c r="H43" s="455"/>
      <c r="N43" s="33" t="s">
        <v>1369</v>
      </c>
      <c r="O43" s="33" t="s">
        <v>1370</v>
      </c>
      <c r="P43" s="33" t="s">
        <v>1367</v>
      </c>
      <c r="R43" s="553"/>
    </row>
    <row r="44" spans="2:18" x14ac:dyDescent="0.3">
      <c r="B44" s="367" t="s">
        <v>1056</v>
      </c>
      <c r="C44" s="365" t="s">
        <v>244</v>
      </c>
      <c r="D44" s="368">
        <f>[3]Sudbury!$I$39</f>
        <v>59364.08</v>
      </c>
      <c r="E44" s="368">
        <f>[2]Sudbury!$D$44</f>
        <v>39576</v>
      </c>
      <c r="F44" s="368">
        <f>D44-E44</f>
        <v>19788.080000000002</v>
      </c>
      <c r="G44" s="366">
        <f t="shared" si="4"/>
        <v>0.66669999999999996</v>
      </c>
      <c r="H44" s="455"/>
      <c r="N44" s="33" t="s">
        <v>1369</v>
      </c>
      <c r="O44" s="33" t="s">
        <v>1370</v>
      </c>
      <c r="P44" s="33" t="s">
        <v>1367</v>
      </c>
      <c r="R44" s="553"/>
    </row>
    <row r="45" spans="2:18" s="32" customFormat="1" ht="14.5" thickBot="1" x14ac:dyDescent="0.35">
      <c r="B45" s="442" t="s">
        <v>1057</v>
      </c>
      <c r="C45" s="468" t="s">
        <v>245</v>
      </c>
      <c r="D45" s="363">
        <f>SUM(D43:D44)</f>
        <v>69028</v>
      </c>
      <c r="E45" s="370">
        <f>SUM(E43:E44)</f>
        <v>46016</v>
      </c>
      <c r="F45" s="370">
        <f>D45-E45</f>
        <v>23012</v>
      </c>
      <c r="G45" s="475">
        <f t="shared" si="4"/>
        <v>0.66659999999999997</v>
      </c>
      <c r="H45" s="467">
        <f t="shared" si="9"/>
        <v>0.66659999999999997</v>
      </c>
    </row>
    <row r="46" spans="2:18" x14ac:dyDescent="0.3">
      <c r="B46" s="445"/>
      <c r="C46" s="471"/>
      <c r="D46" s="447"/>
      <c r="E46" s="447"/>
      <c r="F46" s="447"/>
      <c r="G46" s="412"/>
    </row>
    <row r="47" spans="2:18" ht="14.5" thickBot="1" x14ac:dyDescent="0.35">
      <c r="B47" s="510"/>
      <c r="C47" s="468" t="s">
        <v>607</v>
      </c>
      <c r="D47" s="370">
        <f>SUM(D8,D9,D19,D24,D31,D33,D37,D41,D45)-D30</f>
        <v>428915</v>
      </c>
      <c r="E47" s="370">
        <f>SUM(E11,E19,E24,E31,E33,E37,E41,E45)</f>
        <v>186300</v>
      </c>
      <c r="F47" s="370">
        <f>D47-E47</f>
        <v>242615</v>
      </c>
      <c r="G47" s="469">
        <f>E47/D47</f>
        <v>0.43435179464462653</v>
      </c>
    </row>
    <row r="48" spans="2:18" x14ac:dyDescent="0.3">
      <c r="B48" s="445"/>
      <c r="C48" s="483"/>
      <c r="D48" s="448"/>
      <c r="E48" s="448"/>
      <c r="F48" s="448"/>
      <c r="G48" s="416"/>
    </row>
    <row r="49" spans="2:7" x14ac:dyDescent="0.3">
      <c r="B49" s="554"/>
      <c r="C49" s="483"/>
      <c r="D49" s="448"/>
      <c r="E49" s="448"/>
      <c r="F49" s="448"/>
      <c r="G49" s="484"/>
    </row>
    <row r="50" spans="2:7" ht="14.5" thickBot="1" x14ac:dyDescent="0.35">
      <c r="B50" s="510"/>
      <c r="C50" s="468" t="s">
        <v>1531</v>
      </c>
      <c r="D50" s="370">
        <f>D47+D38+D10+D34+D30</f>
        <v>428915</v>
      </c>
      <c r="E50" s="370">
        <f>E47+E38+E10+E34</f>
        <v>186300</v>
      </c>
      <c r="F50" s="370">
        <f>F47+F38+F10+F34+F30</f>
        <v>242615</v>
      </c>
      <c r="G50" s="469">
        <f>E50/D50</f>
        <v>0.43435179464462653</v>
      </c>
    </row>
    <row r="51" spans="2:7" x14ac:dyDescent="0.3">
      <c r="B51" s="554"/>
      <c r="C51" s="483"/>
      <c r="D51" s="448"/>
      <c r="E51" s="448"/>
      <c r="F51" s="448"/>
      <c r="G51" s="484"/>
    </row>
    <row r="52" spans="2:7" ht="14.5" thickBot="1" x14ac:dyDescent="0.35">
      <c r="B52" s="555"/>
      <c r="C52" s="468" t="s">
        <v>1657</v>
      </c>
      <c r="D52" s="370">
        <f>[5]Summary!$D$13</f>
        <v>411203</v>
      </c>
      <c r="E52" s="370">
        <f>[6]Sudbury!$D$47</f>
        <v>201767</v>
      </c>
      <c r="F52" s="370">
        <f>D52-E52</f>
        <v>209436</v>
      </c>
      <c r="G52" s="469">
        <f>E52/D52</f>
        <v>0.49067492211875885</v>
      </c>
    </row>
    <row r="55" spans="2:7" ht="12.75" customHeight="1" x14ac:dyDescent="0.3"/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Q60"/>
  <sheetViews>
    <sheetView topLeftCell="A44" zoomScaleNormal="100" workbookViewId="0">
      <selection activeCell="D55" sqref="D55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50.83203125" style="33" bestFit="1" customWidth="1"/>
    <col min="4" max="6" width="12" style="33" bestFit="1" customWidth="1"/>
    <col min="7" max="7" width="12" style="214" customWidth="1"/>
    <col min="8" max="16" width="10.25" style="33" hidden="1" customWidth="1"/>
    <col min="17" max="17" width="10.25" style="33" customWidth="1"/>
    <col min="18" max="18" width="9" style="33" customWidth="1"/>
    <col min="19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COUNTIF(H8:H55,"&gt;1")</f>
        <v>0</v>
      </c>
    </row>
    <row r="4" spans="2:16" s="32" customFormat="1" ht="23" thickBot="1" x14ac:dyDescent="0.5">
      <c r="B4" s="413"/>
      <c r="C4" s="406" t="s">
        <v>247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COUNTIF(H8:H55,1)</f>
        <v>0</v>
      </c>
    </row>
    <row r="5" spans="2:16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f>COUNTIFS(H8:H55,"&gt;="&amp;Target,H8:H55,"&lt;"&amp;1)</f>
        <v>3</v>
      </c>
    </row>
    <row r="6" spans="2:16" s="32" customFormat="1" ht="14.5" thickBot="1" x14ac:dyDescent="0.35">
      <c r="B6" s="418" t="s">
        <v>592</v>
      </c>
      <c r="C6" s="419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3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422"/>
      <c r="C7" s="556"/>
      <c r="D7" s="471"/>
      <c r="E7" s="471"/>
      <c r="F7" s="471"/>
      <c r="G7" s="412"/>
      <c r="K7" s="33" t="s">
        <v>547</v>
      </c>
      <c r="L7" s="33">
        <v>0</v>
      </c>
    </row>
    <row r="8" spans="2:16" s="32" customFormat="1" ht="14.5" thickBot="1" x14ac:dyDescent="0.35">
      <c r="B8" s="535" t="s">
        <v>1058</v>
      </c>
      <c r="C8" s="623" t="s">
        <v>248</v>
      </c>
      <c r="D8" s="618">
        <f>[3]Thingoe!$I$8</f>
        <v>45000</v>
      </c>
      <c r="E8" s="618">
        <f>[2]Thingoe!$D$8</f>
        <v>30000</v>
      </c>
      <c r="F8" s="618">
        <f>D8-E8</f>
        <v>15000</v>
      </c>
      <c r="G8" s="624">
        <f>ROUND((E8/D8),4)</f>
        <v>0.66669999999999996</v>
      </c>
      <c r="H8" s="455">
        <f>G8</f>
        <v>0.66669999999999996</v>
      </c>
      <c r="J8" s="33"/>
      <c r="K8" s="33"/>
      <c r="L8" s="33">
        <f>SUM(L3:L7)</f>
        <v>6</v>
      </c>
      <c r="N8" s="33" t="s">
        <v>1369</v>
      </c>
      <c r="O8" s="33" t="s">
        <v>1366</v>
      </c>
      <c r="P8" s="33" t="s">
        <v>1367</v>
      </c>
    </row>
    <row r="9" spans="2:16" x14ac:dyDescent="0.3">
      <c r="B9" s="429"/>
      <c r="C9" s="459"/>
      <c r="D9" s="431"/>
      <c r="E9" s="431"/>
      <c r="F9" s="431"/>
      <c r="G9" s="456"/>
      <c r="H9" s="455"/>
    </row>
    <row r="10" spans="2:16" s="32" customFormat="1" ht="14.5" thickBot="1" x14ac:dyDescent="0.35">
      <c r="B10" s="373" t="s">
        <v>1059</v>
      </c>
      <c r="C10" s="384" t="s">
        <v>249</v>
      </c>
      <c r="D10" s="369">
        <f>[3]Thingoe!$I$10</f>
        <v>156000</v>
      </c>
      <c r="E10" s="369">
        <f>[2]Thingoe!$D$10</f>
        <v>124800</v>
      </c>
      <c r="F10" s="369">
        <f t="shared" ref="F10:F29" si="0">D10-E10</f>
        <v>31200</v>
      </c>
      <c r="G10" s="366">
        <f>ROUND((E10/D10),4)</f>
        <v>0.8</v>
      </c>
      <c r="H10" s="455">
        <f t="shared" ref="H10:H14" si="1">G10</f>
        <v>0.8</v>
      </c>
      <c r="K10" s="33"/>
      <c r="L10" s="33"/>
      <c r="N10" s="33" t="s">
        <v>1369</v>
      </c>
      <c r="O10" s="33" t="s">
        <v>1370</v>
      </c>
      <c r="P10" s="33" t="s">
        <v>1367</v>
      </c>
    </row>
    <row r="11" spans="2:16" x14ac:dyDescent="0.3">
      <c r="B11" s="429"/>
      <c r="C11" s="459"/>
      <c r="D11" s="431"/>
      <c r="E11" s="431"/>
      <c r="F11" s="431"/>
      <c r="G11" s="461"/>
      <c r="H11" s="455"/>
    </row>
    <row r="12" spans="2:16" x14ac:dyDescent="0.3">
      <c r="B12" s="367" t="s">
        <v>1060</v>
      </c>
      <c r="C12" s="365" t="s">
        <v>250</v>
      </c>
      <c r="D12" s="368">
        <f>[3]Thingoe!$I$12</f>
        <v>37308</v>
      </c>
      <c r="E12" s="368">
        <f>[2]Thingoe!$D12</f>
        <v>24833</v>
      </c>
      <c r="F12" s="368">
        <f t="shared" ref="F12:F13" si="2">D12-E12</f>
        <v>12475</v>
      </c>
      <c r="G12" s="366">
        <f t="shared" ref="G12:G13" si="3">ROUND((E12/D12),4)</f>
        <v>0.66559999999999997</v>
      </c>
      <c r="H12" s="455"/>
      <c r="N12" s="33" t="s">
        <v>1369</v>
      </c>
      <c r="O12" s="33" t="s">
        <v>1370</v>
      </c>
      <c r="P12" s="33" t="s">
        <v>1367</v>
      </c>
    </row>
    <row r="13" spans="2:16" x14ac:dyDescent="0.3">
      <c r="B13" s="367" t="s">
        <v>1061</v>
      </c>
      <c r="C13" s="365" t="s">
        <v>251</v>
      </c>
      <c r="D13" s="368">
        <f>[3]Thingoe!$I$13</f>
        <v>29308</v>
      </c>
      <c r="E13" s="368">
        <f>[2]Thingoe!$D13</f>
        <v>19544</v>
      </c>
      <c r="F13" s="368">
        <f t="shared" si="2"/>
        <v>9764</v>
      </c>
      <c r="G13" s="366">
        <f t="shared" si="3"/>
        <v>0.66679999999999995</v>
      </c>
      <c r="H13" s="455"/>
      <c r="N13" s="33" t="s">
        <v>1365</v>
      </c>
      <c r="O13" s="33" t="s">
        <v>1366</v>
      </c>
      <c r="P13" s="33" t="s">
        <v>1367</v>
      </c>
    </row>
    <row r="14" spans="2:16" s="32" customFormat="1" ht="14.5" thickBot="1" x14ac:dyDescent="0.35">
      <c r="B14" s="301" t="s">
        <v>1062</v>
      </c>
      <c r="C14" s="302" t="s">
        <v>252</v>
      </c>
      <c r="D14" s="363">
        <f>SUM(D12:D13)</f>
        <v>66616</v>
      </c>
      <c r="E14" s="363">
        <f>SUM(E12:E13)</f>
        <v>44377</v>
      </c>
      <c r="F14" s="363">
        <f t="shared" si="0"/>
        <v>22239</v>
      </c>
      <c r="G14" s="403">
        <f>ROUND((E14/D14),4)</f>
        <v>0.66620000000000001</v>
      </c>
      <c r="H14" s="455">
        <f t="shared" si="1"/>
        <v>0.66620000000000001</v>
      </c>
    </row>
    <row r="15" spans="2:16" x14ac:dyDescent="0.3">
      <c r="B15" s="429"/>
      <c r="C15" s="459"/>
      <c r="D15" s="431"/>
      <c r="E15" s="431"/>
      <c r="F15" s="431"/>
      <c r="G15" s="461"/>
      <c r="H15" s="455"/>
    </row>
    <row r="16" spans="2:16" x14ac:dyDescent="0.3">
      <c r="B16" s="367" t="s">
        <v>1063</v>
      </c>
      <c r="C16" s="365" t="s">
        <v>253</v>
      </c>
      <c r="D16" s="368">
        <f>[3]Thingoe!$I$16</f>
        <v>0</v>
      </c>
      <c r="E16" s="368">
        <f>[2]Thingoe!$D16</f>
        <v>7500</v>
      </c>
      <c r="F16" s="368">
        <f t="shared" si="0"/>
        <v>-7500</v>
      </c>
      <c r="G16" s="366"/>
      <c r="H16" s="455"/>
      <c r="N16" s="33" t="s">
        <v>1365</v>
      </c>
      <c r="O16" s="33" t="s">
        <v>1366</v>
      </c>
    </row>
    <row r="17" spans="2:17" x14ac:dyDescent="0.3">
      <c r="B17" s="367" t="s">
        <v>1064</v>
      </c>
      <c r="C17" s="365" t="s">
        <v>254</v>
      </c>
      <c r="D17" s="368">
        <v>0</v>
      </c>
      <c r="E17" s="368">
        <f>[2]Thingoe!$D17</f>
        <v>17500</v>
      </c>
      <c r="F17" s="368">
        <f t="shared" si="0"/>
        <v>-17500</v>
      </c>
      <c r="G17" s="366"/>
      <c r="H17" s="455"/>
      <c r="N17" s="33" t="s">
        <v>1369</v>
      </c>
      <c r="O17" s="33" t="s">
        <v>1370</v>
      </c>
      <c r="P17" s="33" t="s">
        <v>1367</v>
      </c>
    </row>
    <row r="18" spans="2:17" x14ac:dyDescent="0.3">
      <c r="B18" s="655" t="s">
        <v>978</v>
      </c>
      <c r="C18" s="636" t="s">
        <v>171</v>
      </c>
      <c r="D18" s="637">
        <v>0</v>
      </c>
      <c r="E18" s="637">
        <f>[2]Thingoe!$D$18</f>
        <v>0</v>
      </c>
      <c r="F18" s="637">
        <f t="shared" si="0"/>
        <v>0</v>
      </c>
      <c r="G18" s="366"/>
      <c r="H18" s="455"/>
      <c r="N18" s="33" t="s">
        <v>1369</v>
      </c>
      <c r="O18" s="33" t="s">
        <v>1366</v>
      </c>
      <c r="P18" s="33" t="s">
        <v>1367</v>
      </c>
    </row>
    <row r="19" spans="2:17" x14ac:dyDescent="0.3">
      <c r="B19" s="655" t="s">
        <v>980</v>
      </c>
      <c r="C19" s="636" t="s">
        <v>173</v>
      </c>
      <c r="D19" s="637">
        <v>0</v>
      </c>
      <c r="E19" s="637">
        <f>[2]Thingoe!$D19</f>
        <v>0</v>
      </c>
      <c r="F19" s="637">
        <f t="shared" si="0"/>
        <v>0</v>
      </c>
      <c r="G19" s="366"/>
      <c r="H19" s="455"/>
      <c r="N19" s="33" t="s">
        <v>1369</v>
      </c>
      <c r="O19" s="33" t="s">
        <v>1370</v>
      </c>
      <c r="P19" s="33" t="s">
        <v>1367</v>
      </c>
    </row>
    <row r="20" spans="2:17" x14ac:dyDescent="0.3">
      <c r="B20" s="367" t="s">
        <v>1065</v>
      </c>
      <c r="C20" s="365" t="s">
        <v>255</v>
      </c>
      <c r="D20" s="368">
        <f>[3]Thingoe!$I$20</f>
        <v>0</v>
      </c>
      <c r="E20" s="368">
        <f>[2]Thingoe!$D20</f>
        <v>4200</v>
      </c>
      <c r="F20" s="368">
        <f t="shared" si="0"/>
        <v>-4200</v>
      </c>
      <c r="G20" s="366"/>
      <c r="H20" s="455"/>
    </row>
    <row r="21" spans="2:17" s="32" customFormat="1" x14ac:dyDescent="0.3">
      <c r="B21" s="367" t="s">
        <v>1066</v>
      </c>
      <c r="C21" s="365" t="s">
        <v>256</v>
      </c>
      <c r="D21" s="368">
        <f>[3]Thingoe!$I$21</f>
        <v>0</v>
      </c>
      <c r="E21" s="368">
        <f>[2]Thingoe!$D21</f>
        <v>6600</v>
      </c>
      <c r="F21" s="368">
        <f t="shared" si="0"/>
        <v>-6600</v>
      </c>
      <c r="G21" s="366"/>
      <c r="H21" s="455">
        <f>G22</f>
        <v>0.52280000000000004</v>
      </c>
    </row>
    <row r="22" spans="2:17" ht="14.5" thickBot="1" x14ac:dyDescent="0.35">
      <c r="B22" s="301" t="s">
        <v>1067</v>
      </c>
      <c r="C22" s="302" t="s">
        <v>257</v>
      </c>
      <c r="D22" s="363">
        <v>68474</v>
      </c>
      <c r="E22" s="363">
        <f>SUM(E16:E21)</f>
        <v>35800</v>
      </c>
      <c r="F22" s="363">
        <f>D22-E22</f>
        <v>32674</v>
      </c>
      <c r="G22" s="403">
        <f>ROUND((E22/D22),4)</f>
        <v>0.52280000000000004</v>
      </c>
      <c r="H22" s="455"/>
    </row>
    <row r="23" spans="2:17" x14ac:dyDescent="0.3">
      <c r="B23" s="367"/>
      <c r="C23" s="365"/>
      <c r="D23" s="368"/>
      <c r="E23" s="368"/>
      <c r="F23" s="368"/>
      <c r="G23" s="366"/>
      <c r="H23" s="455"/>
      <c r="N23" s="33" t="s">
        <v>1369</v>
      </c>
      <c r="O23" s="33" t="s">
        <v>1370</v>
      </c>
      <c r="P23" s="33" t="s">
        <v>1367</v>
      </c>
    </row>
    <row r="24" spans="2:17" x14ac:dyDescent="0.3">
      <c r="B24" s="367" t="s">
        <v>1068</v>
      </c>
      <c r="C24" s="365" t="s">
        <v>258</v>
      </c>
      <c r="D24" s="368">
        <f>[3]Thingoe!$I$24</f>
        <v>11500</v>
      </c>
      <c r="E24" s="368">
        <f>[2]Thingoe!$D24</f>
        <v>6000</v>
      </c>
      <c r="F24" s="368">
        <f t="shared" ref="F24:F28" si="4">D24-E24</f>
        <v>5500</v>
      </c>
      <c r="G24" s="366">
        <f t="shared" ref="G24:G28" si="5">ROUND((E24/D24),4)</f>
        <v>0.52170000000000005</v>
      </c>
      <c r="H24" s="455"/>
      <c r="N24" s="33" t="s">
        <v>1365</v>
      </c>
      <c r="O24" s="33" t="s">
        <v>1366</v>
      </c>
      <c r="P24" s="33" t="s">
        <v>1368</v>
      </c>
    </row>
    <row r="25" spans="2:17" x14ac:dyDescent="0.3">
      <c r="B25" s="367" t="s">
        <v>1069</v>
      </c>
      <c r="C25" s="365" t="s">
        <v>259</v>
      </c>
      <c r="D25" s="368">
        <f>[3]Thingoe!$I$25</f>
        <v>2000</v>
      </c>
      <c r="E25" s="368">
        <f>[2]Thingoe!$D25</f>
        <v>1000</v>
      </c>
      <c r="F25" s="368">
        <f t="shared" si="4"/>
        <v>1000</v>
      </c>
      <c r="G25" s="366">
        <f t="shared" si="5"/>
        <v>0.5</v>
      </c>
      <c r="H25" s="455"/>
      <c r="N25" s="33" t="s">
        <v>1365</v>
      </c>
      <c r="O25" s="33" t="s">
        <v>1366</v>
      </c>
      <c r="P25" s="33" t="s">
        <v>1371</v>
      </c>
      <c r="Q25" s="582"/>
    </row>
    <row r="26" spans="2:17" x14ac:dyDescent="0.3">
      <c r="B26" s="367" t="s">
        <v>1070</v>
      </c>
      <c r="C26" s="365" t="s">
        <v>260</v>
      </c>
      <c r="D26" s="368">
        <f>[3]Thingoe!$I$26</f>
        <v>5600</v>
      </c>
      <c r="E26" s="368">
        <f>[2]Thingoe!$D26</f>
        <v>3000</v>
      </c>
      <c r="F26" s="368">
        <f t="shared" si="4"/>
        <v>2600</v>
      </c>
      <c r="G26" s="366">
        <f t="shared" si="5"/>
        <v>0.53569999999999995</v>
      </c>
      <c r="H26" s="455"/>
      <c r="N26" s="33" t="s">
        <v>1365</v>
      </c>
      <c r="O26" s="33" t="s">
        <v>1366</v>
      </c>
    </row>
    <row r="27" spans="2:17" x14ac:dyDescent="0.3">
      <c r="B27" s="367" t="s">
        <v>1071</v>
      </c>
      <c r="C27" s="365" t="s">
        <v>261</v>
      </c>
      <c r="D27" s="368">
        <f>[3]Thingoe!$I$27</f>
        <v>1300</v>
      </c>
      <c r="E27" s="368">
        <f>[2]Thingoe!$D27</f>
        <v>1150</v>
      </c>
      <c r="F27" s="368">
        <f t="shared" si="4"/>
        <v>150</v>
      </c>
      <c r="G27" s="366">
        <f t="shared" si="5"/>
        <v>0.88460000000000005</v>
      </c>
      <c r="H27" s="455"/>
      <c r="N27" s="33" t="s">
        <v>1365</v>
      </c>
      <c r="O27" s="33" t="s">
        <v>1366</v>
      </c>
      <c r="P27" s="33" t="s">
        <v>1367</v>
      </c>
    </row>
    <row r="28" spans="2:17" s="32" customFormat="1" x14ac:dyDescent="0.3">
      <c r="B28" s="367" t="s">
        <v>1072</v>
      </c>
      <c r="C28" s="384" t="s">
        <v>263</v>
      </c>
      <c r="D28" s="368">
        <f>[3]Thingoe!$I$28</f>
        <v>13000</v>
      </c>
      <c r="E28" s="368">
        <f>[2]Thingoe!$D28</f>
        <v>9600</v>
      </c>
      <c r="F28" s="369">
        <f t="shared" si="4"/>
        <v>3400</v>
      </c>
      <c r="G28" s="366">
        <f t="shared" si="5"/>
        <v>0.73850000000000005</v>
      </c>
      <c r="H28" s="455">
        <f>G29</f>
        <v>0.62129999999999996</v>
      </c>
    </row>
    <row r="29" spans="2:17" ht="14.5" thickBot="1" x14ac:dyDescent="0.35">
      <c r="B29" s="301" t="s">
        <v>1073</v>
      </c>
      <c r="C29" s="302" t="s">
        <v>262</v>
      </c>
      <c r="D29" s="363">
        <f>SUM(D24:D28)</f>
        <v>33400</v>
      </c>
      <c r="E29" s="363">
        <f>SUM(E24:E28)</f>
        <v>20750</v>
      </c>
      <c r="F29" s="363">
        <f t="shared" si="0"/>
        <v>12650</v>
      </c>
      <c r="G29" s="403">
        <f t="shared" ref="G29" si="6">ROUND((E29/D29),4)</f>
        <v>0.62129999999999996</v>
      </c>
      <c r="H29" s="455"/>
    </row>
    <row r="30" spans="2:17" x14ac:dyDescent="0.3">
      <c r="B30" s="367"/>
      <c r="C30" s="365"/>
      <c r="D30" s="368"/>
      <c r="E30" s="368"/>
      <c r="F30" s="368"/>
      <c r="G30" s="366"/>
      <c r="H30" s="455"/>
      <c r="N30" s="33" t="s">
        <v>1369</v>
      </c>
      <c r="O30" s="33" t="s">
        <v>1370</v>
      </c>
      <c r="P30" s="33" t="s">
        <v>1367</v>
      </c>
    </row>
    <row r="31" spans="2:17" x14ac:dyDescent="0.3">
      <c r="B31" s="367" t="s">
        <v>1074</v>
      </c>
      <c r="C31" s="365" t="s">
        <v>264</v>
      </c>
      <c r="D31" s="368">
        <f>[3]Thingoe!$I$31</f>
        <v>40000</v>
      </c>
      <c r="E31" s="368">
        <f>[2]Thingoe!$D31</f>
        <v>26664</v>
      </c>
      <c r="F31" s="368">
        <f>D31-E31</f>
        <v>13336</v>
      </c>
      <c r="G31" s="366">
        <f t="shared" ref="G31:G33" si="7">ROUND((E31/D31),4)</f>
        <v>0.66659999999999997</v>
      </c>
      <c r="H31" s="455"/>
      <c r="N31" s="33" t="s">
        <v>1365</v>
      </c>
      <c r="O31" s="33" t="s">
        <v>1366</v>
      </c>
      <c r="P31" s="33" t="s">
        <v>1367</v>
      </c>
    </row>
    <row r="32" spans="2:17" x14ac:dyDescent="0.3">
      <c r="B32" s="367" t="s">
        <v>1075</v>
      </c>
      <c r="C32" s="365" t="s">
        <v>265</v>
      </c>
      <c r="D32" s="368">
        <f>[3]Thingoe!$I$32</f>
        <v>9605</v>
      </c>
      <c r="E32" s="368">
        <f>[2]Thingoe!$D32</f>
        <v>6401</v>
      </c>
      <c r="F32" s="368">
        <f t="shared" ref="F32:F47" si="8">D32-E32</f>
        <v>3204</v>
      </c>
      <c r="G32" s="366">
        <f t="shared" si="7"/>
        <v>0.66639999999999999</v>
      </c>
      <c r="H32" s="455"/>
      <c r="N32" s="33" t="s">
        <v>1372</v>
      </c>
      <c r="O32" s="33" t="s">
        <v>1370</v>
      </c>
      <c r="P32" s="33" t="s">
        <v>1367</v>
      </c>
    </row>
    <row r="33" spans="2:16" x14ac:dyDescent="0.3">
      <c r="B33" s="367" t="s">
        <v>1076</v>
      </c>
      <c r="C33" s="365" t="s">
        <v>266</v>
      </c>
      <c r="D33" s="368">
        <f>[3]Thingoe!$I$33</f>
        <v>46833</v>
      </c>
      <c r="E33" s="368">
        <f>[2]Thingoe!$D33</f>
        <v>31224</v>
      </c>
      <c r="F33" s="368">
        <f t="shared" si="8"/>
        <v>15609</v>
      </c>
      <c r="G33" s="366">
        <f t="shared" si="7"/>
        <v>0.66669999999999996</v>
      </c>
      <c r="H33" s="455"/>
    </row>
    <row r="34" spans="2:16" hidden="1" x14ac:dyDescent="0.3">
      <c r="B34" s="367" t="s">
        <v>1345</v>
      </c>
      <c r="C34" s="365" t="s">
        <v>267</v>
      </c>
      <c r="D34" s="368"/>
      <c r="E34" s="368"/>
      <c r="F34" s="368"/>
      <c r="G34" s="366"/>
      <c r="H34" s="455"/>
    </row>
    <row r="35" spans="2:16" hidden="1" x14ac:dyDescent="0.3">
      <c r="B35" s="367" t="s">
        <v>1346</v>
      </c>
      <c r="C35" s="365" t="s">
        <v>268</v>
      </c>
      <c r="D35" s="368"/>
      <c r="E35" s="368"/>
      <c r="F35" s="368"/>
      <c r="G35" s="366"/>
      <c r="H35" s="455"/>
    </row>
    <row r="36" spans="2:16" hidden="1" x14ac:dyDescent="0.3">
      <c r="B36" s="367" t="s">
        <v>1347</v>
      </c>
      <c r="C36" s="365" t="s">
        <v>269</v>
      </c>
      <c r="D36" s="368"/>
      <c r="E36" s="368"/>
      <c r="F36" s="368"/>
      <c r="G36" s="366"/>
      <c r="H36" s="455"/>
    </row>
    <row r="37" spans="2:16" hidden="1" x14ac:dyDescent="0.3">
      <c r="B37" s="367" t="s">
        <v>1348</v>
      </c>
      <c r="C37" s="365" t="s">
        <v>270</v>
      </c>
      <c r="D37" s="368"/>
      <c r="E37" s="368"/>
      <c r="F37" s="368"/>
      <c r="G37" s="366"/>
      <c r="H37" s="455"/>
    </row>
    <row r="38" spans="2:16" hidden="1" x14ac:dyDescent="0.3">
      <c r="B38" s="367" t="s">
        <v>1349</v>
      </c>
      <c r="C38" s="365" t="s">
        <v>271</v>
      </c>
      <c r="D38" s="368"/>
      <c r="E38" s="368"/>
      <c r="F38" s="368"/>
      <c r="G38" s="366"/>
      <c r="H38" s="455"/>
    </row>
    <row r="39" spans="2:16" ht="15" hidden="1" customHeight="1" x14ac:dyDescent="0.3">
      <c r="B39" s="367" t="s">
        <v>1350</v>
      </c>
      <c r="C39" s="365" t="s">
        <v>272</v>
      </c>
      <c r="D39" s="368"/>
      <c r="E39" s="368"/>
      <c r="F39" s="368"/>
      <c r="G39" s="366"/>
      <c r="H39" s="455"/>
    </row>
    <row r="40" spans="2:16" hidden="1" x14ac:dyDescent="0.3">
      <c r="B40" s="367" t="s">
        <v>1351</v>
      </c>
      <c r="C40" s="365" t="s">
        <v>273</v>
      </c>
      <c r="D40" s="368"/>
      <c r="E40" s="368"/>
      <c r="F40" s="368"/>
      <c r="G40" s="366"/>
      <c r="H40" s="455"/>
      <c r="N40" s="33" t="s">
        <v>1369</v>
      </c>
      <c r="O40" s="33" t="s">
        <v>1370</v>
      </c>
      <c r="P40" s="33" t="s">
        <v>1367</v>
      </c>
    </row>
    <row r="41" spans="2:16" x14ac:dyDescent="0.3">
      <c r="B41" s="367" t="s">
        <v>1345</v>
      </c>
      <c r="C41" s="365" t="s">
        <v>267</v>
      </c>
      <c r="D41" s="368"/>
      <c r="E41" s="368">
        <v>0</v>
      </c>
      <c r="F41" s="368">
        <f t="shared" si="8"/>
        <v>0</v>
      </c>
      <c r="G41" s="366"/>
      <c r="H41" s="455"/>
    </row>
    <row r="42" spans="2:16" s="32" customFormat="1" x14ac:dyDescent="0.3">
      <c r="B42" s="367" t="s">
        <v>1346</v>
      </c>
      <c r="C42" s="365" t="s">
        <v>268</v>
      </c>
      <c r="D42" s="368"/>
      <c r="E42" s="368">
        <v>0</v>
      </c>
      <c r="F42" s="368">
        <f t="shared" si="8"/>
        <v>0</v>
      </c>
      <c r="G42" s="366"/>
      <c r="H42" s="455">
        <f>G49</f>
        <v>0.67549999999999999</v>
      </c>
    </row>
    <row r="43" spans="2:16" x14ac:dyDescent="0.3">
      <c r="B43" s="367" t="s">
        <v>1347</v>
      </c>
      <c r="C43" s="365" t="s">
        <v>269</v>
      </c>
      <c r="D43" s="368"/>
      <c r="E43" s="368">
        <v>0</v>
      </c>
      <c r="F43" s="368">
        <f t="shared" si="8"/>
        <v>0</v>
      </c>
      <c r="G43" s="366"/>
    </row>
    <row r="44" spans="2:16" x14ac:dyDescent="0.3">
      <c r="B44" s="367" t="s">
        <v>1348</v>
      </c>
      <c r="C44" s="365" t="s">
        <v>270</v>
      </c>
      <c r="D44" s="368"/>
      <c r="E44" s="368">
        <v>0</v>
      </c>
      <c r="F44" s="368">
        <f t="shared" si="8"/>
        <v>0</v>
      </c>
      <c r="G44" s="366"/>
    </row>
    <row r="45" spans="2:16" x14ac:dyDescent="0.3">
      <c r="B45" s="367" t="s">
        <v>1349</v>
      </c>
      <c r="C45" s="365" t="s">
        <v>271</v>
      </c>
      <c r="D45" s="368"/>
      <c r="E45" s="368">
        <v>0</v>
      </c>
      <c r="F45" s="368">
        <f t="shared" si="8"/>
        <v>0</v>
      </c>
      <c r="G45" s="366"/>
    </row>
    <row r="46" spans="2:16" x14ac:dyDescent="0.3">
      <c r="B46" s="367" t="s">
        <v>1350</v>
      </c>
      <c r="C46" s="365" t="s">
        <v>272</v>
      </c>
      <c r="D46" s="368"/>
      <c r="E46" s="368">
        <v>0</v>
      </c>
      <c r="F46" s="368">
        <f t="shared" si="8"/>
        <v>0</v>
      </c>
      <c r="G46" s="366"/>
    </row>
    <row r="47" spans="2:16" x14ac:dyDescent="0.3">
      <c r="B47" s="367" t="s">
        <v>1351</v>
      </c>
      <c r="C47" s="365" t="s">
        <v>273</v>
      </c>
      <c r="D47" s="368"/>
      <c r="E47" s="368">
        <v>0</v>
      </c>
      <c r="F47" s="368">
        <f t="shared" si="8"/>
        <v>0</v>
      </c>
      <c r="G47" s="366"/>
    </row>
    <row r="48" spans="2:16" x14ac:dyDescent="0.3">
      <c r="B48" s="609" t="s">
        <v>1077</v>
      </c>
      <c r="C48" s="610" t="s">
        <v>533</v>
      </c>
      <c r="D48" s="368">
        <f>[3]Thingoe!$I$41</f>
        <v>34850</v>
      </c>
      <c r="E48" s="368">
        <f>[2]Thingoe!$D$41</f>
        <v>24395</v>
      </c>
      <c r="F48" s="368">
        <f t="shared" ref="F48" si="9">D48-E48</f>
        <v>10455</v>
      </c>
      <c r="G48" s="366">
        <f t="shared" ref="G48" si="10">ROUND((E48/D48),4)</f>
        <v>0.7</v>
      </c>
    </row>
    <row r="49" spans="2:7" s="32" customFormat="1" ht="14.5" thickBot="1" x14ac:dyDescent="0.35">
      <c r="B49" s="442"/>
      <c r="C49" s="468" t="s">
        <v>274</v>
      </c>
      <c r="D49" s="363">
        <f>SUM(D31:D48)</f>
        <v>131288</v>
      </c>
      <c r="E49" s="370">
        <f>SUM(E31:E48)</f>
        <v>88684</v>
      </c>
      <c r="F49" s="370">
        <f>D49-E49</f>
        <v>42604</v>
      </c>
      <c r="G49" s="403">
        <f>ROUND((E49/D49),4)</f>
        <v>0.67549999999999999</v>
      </c>
    </row>
    <row r="50" spans="2:7" x14ac:dyDescent="0.3">
      <c r="B50" s="445"/>
      <c r="C50" s="471"/>
      <c r="D50" s="447"/>
      <c r="E50" s="447"/>
      <c r="F50" s="447"/>
      <c r="G50" s="412"/>
    </row>
    <row r="51" spans="2:7" x14ac:dyDescent="0.3">
      <c r="B51" s="367"/>
      <c r="C51" s="365" t="s">
        <v>1352</v>
      </c>
      <c r="D51" s="368">
        <f>[3]Thingoe!$I$44</f>
        <v>37804</v>
      </c>
      <c r="E51" s="368"/>
      <c r="F51" s="368">
        <f>D51-E51</f>
        <v>37804</v>
      </c>
      <c r="G51" s="366"/>
    </row>
    <row r="52" spans="2:7" x14ac:dyDescent="0.3">
      <c r="B52" s="367"/>
      <c r="C52" s="365"/>
      <c r="D52" s="368"/>
      <c r="E52" s="368"/>
      <c r="F52" s="368"/>
      <c r="G52" s="366"/>
    </row>
    <row r="53" spans="2:7" x14ac:dyDescent="0.3">
      <c r="B53" s="445"/>
      <c r="C53" s="471" t="s">
        <v>606</v>
      </c>
      <c r="D53" s="447"/>
      <c r="E53" s="368"/>
      <c r="F53" s="368"/>
      <c r="G53" s="366"/>
    </row>
    <row r="54" spans="2:7" x14ac:dyDescent="0.3">
      <c r="B54" s="445"/>
      <c r="C54" s="471" t="s">
        <v>1623</v>
      </c>
      <c r="D54" s="368">
        <v>-25000</v>
      </c>
      <c r="E54" s="368"/>
      <c r="F54" s="368">
        <f>D54-E54</f>
        <v>-25000</v>
      </c>
      <c r="G54" s="366"/>
    </row>
    <row r="55" spans="2:7" x14ac:dyDescent="0.3">
      <c r="B55" s="445"/>
      <c r="C55" s="471"/>
      <c r="D55" s="447"/>
      <c r="E55" s="447"/>
      <c r="F55" s="447"/>
      <c r="G55" s="557"/>
    </row>
    <row r="56" spans="2:7" ht="14.5" thickBot="1" x14ac:dyDescent="0.35">
      <c r="B56" s="442"/>
      <c r="C56" s="468" t="s">
        <v>57</v>
      </c>
      <c r="D56" s="370">
        <f>SUM(D49,D29,D22,D14,D10,D8,D51:D51)+D54</f>
        <v>513582</v>
      </c>
      <c r="E56" s="370">
        <f>SUM(E49,E29,E22,E14,E10,E8,E51:E51)+E54</f>
        <v>344411</v>
      </c>
      <c r="F56" s="370">
        <f>SUM(F49,F29,F22,F14,F10,F8,F51:F51)+F54</f>
        <v>169171</v>
      </c>
      <c r="G56" s="469">
        <f>ROUND((E56/D56),4)</f>
        <v>0.67059999999999997</v>
      </c>
    </row>
    <row r="57" spans="2:7" x14ac:dyDescent="0.3">
      <c r="B57" s="445"/>
      <c r="C57" s="471"/>
      <c r="D57" s="447"/>
      <c r="E57" s="447"/>
      <c r="F57" s="447"/>
      <c r="G57" s="412"/>
    </row>
    <row r="58" spans="2:7" ht="14.5" thickBot="1" x14ac:dyDescent="0.35">
      <c r="B58" s="442"/>
      <c r="C58" s="468" t="s">
        <v>1657</v>
      </c>
      <c r="D58" s="370">
        <f>[5]Summary!$D$14</f>
        <v>492746</v>
      </c>
      <c r="E58" s="370">
        <f>[6]Thingoe!$D$47</f>
        <v>338472</v>
      </c>
      <c r="F58" s="370">
        <f>D58-E58</f>
        <v>154274</v>
      </c>
      <c r="G58" s="469">
        <f>E58/D58</f>
        <v>0.68690968572043198</v>
      </c>
    </row>
    <row r="60" spans="2:7" x14ac:dyDescent="0.3">
      <c r="E60" s="582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R64"/>
  <sheetViews>
    <sheetView topLeftCell="A21" zoomScaleNormal="100" workbookViewId="0">
      <selection activeCell="D31" sqref="D31"/>
    </sheetView>
  </sheetViews>
  <sheetFormatPr defaultColWidth="8.58203125" defaultRowHeight="14" x14ac:dyDescent="0.3"/>
  <cols>
    <col min="1" max="1" width="9" style="33" customWidth="1"/>
    <col min="2" max="2" width="11" style="33" bestFit="1" customWidth="1"/>
    <col min="3" max="3" width="59" style="33" bestFit="1" customWidth="1"/>
    <col min="4" max="4" width="14" style="33" bestFit="1" customWidth="1"/>
    <col min="5" max="6" width="12" style="33" bestFit="1" customWidth="1"/>
    <col min="7" max="7" width="12.33203125" style="214" customWidth="1"/>
    <col min="8" max="8" width="11.33203125" style="33" hidden="1" customWidth="1"/>
    <col min="9" max="10" width="9.75" style="33" hidden="1" customWidth="1"/>
    <col min="11" max="11" width="19.25" style="33" hidden="1" customWidth="1"/>
    <col min="12" max="17" width="9.75" style="33" hidden="1" customWidth="1"/>
    <col min="18" max="18" width="13.33203125" style="33" customWidth="1"/>
    <col min="19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88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COUNTIF(H8:H44,"&gt;1")</f>
        <v>0</v>
      </c>
    </row>
    <row r="4" spans="2:16" s="32" customFormat="1" ht="18" thickBot="1" x14ac:dyDescent="0.4">
      <c r="B4" s="413"/>
      <c r="C4" s="521" t="s">
        <v>335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COUNTIF(H8:H44,1)</f>
        <v>0</v>
      </c>
    </row>
    <row r="5" spans="2:16" s="32" customFormat="1" ht="14.25" customHeight="1" thickBot="1" x14ac:dyDescent="0.35">
      <c r="B5" s="413"/>
      <c r="C5" s="415"/>
      <c r="D5" s="415"/>
      <c r="E5" s="415"/>
      <c r="F5" s="415"/>
      <c r="G5" s="416"/>
      <c r="J5" s="33"/>
      <c r="K5" s="33" t="s">
        <v>1538</v>
      </c>
      <c r="L5" s="33">
        <v>4</v>
      </c>
    </row>
    <row r="6" spans="2:16" s="32" customFormat="1" ht="14.5" thickBot="1" x14ac:dyDescent="0.35">
      <c r="B6" s="558" t="s">
        <v>601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553</v>
      </c>
      <c r="K6" s="33" t="s">
        <v>1539</v>
      </c>
      <c r="L6" s="33">
        <v>9</v>
      </c>
      <c r="N6" s="32" t="s">
        <v>1362</v>
      </c>
      <c r="O6" s="32" t="s">
        <v>1363</v>
      </c>
      <c r="P6" s="32" t="s">
        <v>1364</v>
      </c>
    </row>
    <row r="7" spans="2:16" ht="14.25" customHeight="1" x14ac:dyDescent="0.3">
      <c r="B7" s="559"/>
      <c r="C7" s="424"/>
      <c r="D7" s="424"/>
      <c r="E7" s="424"/>
      <c r="F7" s="424"/>
      <c r="G7" s="425"/>
      <c r="K7" s="33" t="s">
        <v>547</v>
      </c>
      <c r="L7" s="33">
        <v>0</v>
      </c>
    </row>
    <row r="8" spans="2:16" ht="14.5" thickBot="1" x14ac:dyDescent="0.35">
      <c r="B8" s="383" t="s">
        <v>1139</v>
      </c>
      <c r="C8" s="535" t="s">
        <v>336</v>
      </c>
      <c r="D8" s="618">
        <f>[3]Ipswich!$I$8</f>
        <v>18098</v>
      </c>
      <c r="E8" s="618">
        <f>[2]Ipswich!$D$8</f>
        <v>5000</v>
      </c>
      <c r="F8" s="618">
        <f>D8-E8</f>
        <v>13098</v>
      </c>
      <c r="G8" s="619">
        <f>ROUND((E8/D8),4)</f>
        <v>0.27629999999999999</v>
      </c>
      <c r="H8" s="403"/>
      <c r="L8" s="33">
        <f>SUM(L3:L7)</f>
        <v>13</v>
      </c>
      <c r="N8" s="33" t="s">
        <v>1369</v>
      </c>
      <c r="O8" s="33" t="s">
        <v>1370</v>
      </c>
      <c r="P8" s="33" t="s">
        <v>1367</v>
      </c>
    </row>
    <row r="9" spans="2:16" ht="14.25" customHeight="1" x14ac:dyDescent="0.3">
      <c r="B9" s="560"/>
      <c r="C9" s="459"/>
      <c r="D9" s="431"/>
      <c r="E9" s="431"/>
      <c r="F9" s="431"/>
      <c r="G9" s="561"/>
      <c r="H9" s="462"/>
    </row>
    <row r="10" spans="2:16" s="32" customFormat="1" ht="14.5" thickBot="1" x14ac:dyDescent="0.35">
      <c r="B10" s="383" t="s">
        <v>1140</v>
      </c>
      <c r="C10" s="535" t="s">
        <v>1619</v>
      </c>
      <c r="D10" s="618">
        <f>[3]Ipswich!$I$11</f>
        <v>75665</v>
      </c>
      <c r="E10" s="618">
        <f>[2]Ipswich!$D$10</f>
        <v>50537</v>
      </c>
      <c r="F10" s="618">
        <f t="shared" ref="F10:F48" si="0">D10-E10</f>
        <v>25128</v>
      </c>
      <c r="G10" s="619">
        <f t="shared" ref="G10:G48" si="1">ROUND((E10/D10),4)</f>
        <v>0.66790000000000005</v>
      </c>
      <c r="H10" s="467">
        <f>G10</f>
        <v>0.66790000000000005</v>
      </c>
    </row>
    <row r="11" spans="2:16" ht="14.25" customHeight="1" x14ac:dyDescent="0.3">
      <c r="B11" s="383"/>
      <c r="C11" s="365"/>
      <c r="D11" s="368"/>
      <c r="E11" s="368"/>
      <c r="F11" s="368"/>
      <c r="G11" s="385"/>
      <c r="H11" s="462"/>
    </row>
    <row r="12" spans="2:16" s="32" customFormat="1" ht="14.5" thickBot="1" x14ac:dyDescent="0.35">
      <c r="B12" s="622" t="s">
        <v>1141</v>
      </c>
      <c r="C12" s="623" t="s">
        <v>337</v>
      </c>
      <c r="D12" s="618">
        <f>[3]Ipswich!$I$13</f>
        <v>81103</v>
      </c>
      <c r="E12" s="618">
        <f>[2]Ipswich!$D$12</f>
        <v>46500</v>
      </c>
      <c r="F12" s="618">
        <f t="shared" si="0"/>
        <v>34603</v>
      </c>
      <c r="G12" s="619">
        <f t="shared" si="1"/>
        <v>0.57330000000000003</v>
      </c>
      <c r="H12" s="455">
        <f t="shared" ref="H12:H37" si="2">G12</f>
        <v>0.57330000000000003</v>
      </c>
      <c r="N12" s="33" t="s">
        <v>1369</v>
      </c>
      <c r="O12" s="33"/>
      <c r="P12" s="33"/>
    </row>
    <row r="13" spans="2:16" ht="14.25" customHeight="1" x14ac:dyDescent="0.3">
      <c r="B13" s="560"/>
      <c r="C13" s="459"/>
      <c r="D13" s="431"/>
      <c r="E13" s="431"/>
      <c r="F13" s="431"/>
      <c r="G13" s="561"/>
      <c r="H13" s="462"/>
    </row>
    <row r="14" spans="2:16" s="32" customFormat="1" ht="14.5" thickBot="1" x14ac:dyDescent="0.35">
      <c r="B14" s="622" t="s">
        <v>1142</v>
      </c>
      <c r="C14" s="623" t="s">
        <v>1618</v>
      </c>
      <c r="D14" s="618">
        <f>[3]Ipswich!$I$15</f>
        <v>63715</v>
      </c>
      <c r="E14" s="618">
        <f>[2]Ipswich!$D$14</f>
        <v>10500</v>
      </c>
      <c r="F14" s="618">
        <f t="shared" si="0"/>
        <v>53215</v>
      </c>
      <c r="G14" s="619">
        <f t="shared" si="1"/>
        <v>0.1648</v>
      </c>
      <c r="H14" s="455">
        <f t="shared" si="2"/>
        <v>0.1648</v>
      </c>
      <c r="N14" s="33" t="s">
        <v>1369</v>
      </c>
      <c r="O14" s="33" t="s">
        <v>1370</v>
      </c>
      <c r="P14" s="33" t="s">
        <v>1367</v>
      </c>
    </row>
    <row r="15" spans="2:16" ht="14.25" customHeight="1" x14ac:dyDescent="0.3">
      <c r="B15" s="560"/>
      <c r="C15" s="459"/>
      <c r="D15" s="431"/>
      <c r="E15" s="431"/>
      <c r="F15" s="431"/>
      <c r="G15" s="561"/>
      <c r="H15" s="462"/>
    </row>
    <row r="16" spans="2:16" x14ac:dyDescent="0.3">
      <c r="B16" s="540" t="s">
        <v>1143</v>
      </c>
      <c r="C16" s="365" t="s">
        <v>338</v>
      </c>
      <c r="D16" s="368"/>
      <c r="E16" s="368">
        <f>[2]Ipswich!$D16</f>
        <v>0</v>
      </c>
      <c r="F16" s="368">
        <f t="shared" ref="F16:F18" si="3">D16-E16</f>
        <v>0</v>
      </c>
      <c r="G16" s="563"/>
      <c r="H16" s="462"/>
    </row>
    <row r="17" spans="2:18" x14ac:dyDescent="0.3">
      <c r="B17" s="540" t="s">
        <v>1144</v>
      </c>
      <c r="C17" s="365" t="s">
        <v>339</v>
      </c>
      <c r="D17" s="368"/>
      <c r="E17" s="368">
        <f>[2]Ipswich!$D17</f>
        <v>0</v>
      </c>
      <c r="F17" s="368">
        <f t="shared" si="3"/>
        <v>0</v>
      </c>
      <c r="G17" s="375"/>
      <c r="H17" s="462"/>
      <c r="N17" s="33" t="s">
        <v>1365</v>
      </c>
      <c r="O17" s="33" t="s">
        <v>1366</v>
      </c>
    </row>
    <row r="18" spans="2:18" x14ac:dyDescent="0.3">
      <c r="B18" s="383" t="s">
        <v>1145</v>
      </c>
      <c r="C18" s="384" t="s">
        <v>340</v>
      </c>
      <c r="D18" s="368"/>
      <c r="E18" s="368">
        <f>[2]Ipswich!$D18</f>
        <v>0</v>
      </c>
      <c r="F18" s="369">
        <f t="shared" si="3"/>
        <v>0</v>
      </c>
      <c r="G18" s="385"/>
      <c r="H18" s="462"/>
      <c r="N18" s="33" t="s">
        <v>1365</v>
      </c>
      <c r="O18" s="33" t="s">
        <v>1366</v>
      </c>
    </row>
    <row r="19" spans="2:18" s="32" customFormat="1" ht="14.5" thickBot="1" x14ac:dyDescent="0.35">
      <c r="B19" s="614" t="s">
        <v>1146</v>
      </c>
      <c r="C19" s="615" t="s">
        <v>341</v>
      </c>
      <c r="D19" s="616">
        <f>[3]Ipswich!$I$21</f>
        <v>37234</v>
      </c>
      <c r="E19" s="616">
        <f>SUM(E16:E18)</f>
        <v>0</v>
      </c>
      <c r="F19" s="616">
        <f t="shared" si="0"/>
        <v>37234</v>
      </c>
      <c r="G19" s="617">
        <f t="shared" si="1"/>
        <v>0</v>
      </c>
      <c r="H19" s="455">
        <f t="shared" si="2"/>
        <v>0</v>
      </c>
    </row>
    <row r="20" spans="2:18" ht="14.25" customHeight="1" x14ac:dyDescent="0.3">
      <c r="B20" s="383"/>
      <c r="C20" s="459"/>
      <c r="D20" s="431"/>
      <c r="E20" s="431"/>
      <c r="F20" s="431"/>
      <c r="G20" s="385"/>
      <c r="H20" s="462"/>
    </row>
    <row r="21" spans="2:18" s="32" customFormat="1" x14ac:dyDescent="0.3">
      <c r="B21" s="652" t="s">
        <v>1147</v>
      </c>
      <c r="C21" s="630" t="s">
        <v>342</v>
      </c>
      <c r="D21" s="620">
        <f>[3]Ipswich!$I$23</f>
        <v>68489</v>
      </c>
      <c r="E21" s="620">
        <f>[2]Ipswich!$D$21</f>
        <v>57539</v>
      </c>
      <c r="F21" s="620">
        <f t="shared" si="0"/>
        <v>10950</v>
      </c>
      <c r="G21" s="621">
        <f t="shared" si="1"/>
        <v>0.84009999999999996</v>
      </c>
      <c r="H21" s="467">
        <f t="shared" si="2"/>
        <v>0.84009999999999996</v>
      </c>
      <c r="N21" s="33" t="s">
        <v>1369</v>
      </c>
      <c r="O21" s="33" t="s">
        <v>1366</v>
      </c>
      <c r="P21" s="33"/>
    </row>
    <row r="22" spans="2:18" ht="14.25" customHeight="1" x14ac:dyDescent="0.3">
      <c r="B22" s="383"/>
      <c r="C22" s="365"/>
      <c r="D22" s="368"/>
      <c r="E22" s="368"/>
      <c r="F22" s="368"/>
      <c r="G22" s="385"/>
      <c r="H22" s="462"/>
    </row>
    <row r="23" spans="2:18" s="32" customFormat="1" ht="14.5" thickBot="1" x14ac:dyDescent="0.35">
      <c r="B23" s="652" t="s">
        <v>1148</v>
      </c>
      <c r="C23" s="630" t="s">
        <v>343</v>
      </c>
      <c r="D23" s="620">
        <f>[3]Ipswich!$I$25</f>
        <v>58243</v>
      </c>
      <c r="E23" s="620">
        <f>[2]Ipswich!$D$23</f>
        <v>19415</v>
      </c>
      <c r="F23" s="620">
        <f t="shared" si="0"/>
        <v>38828</v>
      </c>
      <c r="G23" s="621">
        <f t="shared" si="1"/>
        <v>0.33329999999999999</v>
      </c>
      <c r="H23" s="455">
        <f t="shared" si="2"/>
        <v>0.33329999999999999</v>
      </c>
      <c r="N23" s="33" t="s">
        <v>1369</v>
      </c>
      <c r="O23" s="33" t="s">
        <v>1366</v>
      </c>
      <c r="P23" s="33"/>
    </row>
    <row r="24" spans="2:18" ht="14.25" customHeight="1" x14ac:dyDescent="0.3">
      <c r="B24" s="560"/>
      <c r="C24" s="459"/>
      <c r="D24" s="431"/>
      <c r="E24" s="431"/>
      <c r="F24" s="431"/>
      <c r="G24" s="561"/>
      <c r="H24" s="462"/>
    </row>
    <row r="25" spans="2:18" s="32" customFormat="1" ht="14.5" thickBot="1" x14ac:dyDescent="0.35">
      <c r="B25" s="383" t="s">
        <v>1149</v>
      </c>
      <c r="C25" s="623" t="s">
        <v>344</v>
      </c>
      <c r="D25" s="618">
        <f>[3]Ipswich!$I$27</f>
        <v>15870</v>
      </c>
      <c r="E25" s="618">
        <f>[2]Ipswich!$D$25</f>
        <v>9000</v>
      </c>
      <c r="F25" s="618">
        <f t="shared" si="0"/>
        <v>6870</v>
      </c>
      <c r="G25" s="619">
        <f t="shared" si="1"/>
        <v>0.56710000000000005</v>
      </c>
      <c r="H25" s="455">
        <f t="shared" si="2"/>
        <v>0.56710000000000005</v>
      </c>
      <c r="N25" s="33" t="s">
        <v>1365</v>
      </c>
      <c r="O25" s="33" t="s">
        <v>1366</v>
      </c>
    </row>
    <row r="26" spans="2:18" ht="14.25" customHeight="1" x14ac:dyDescent="0.3">
      <c r="B26" s="560"/>
      <c r="C26" s="459"/>
      <c r="D26" s="431"/>
      <c r="E26" s="431"/>
      <c r="F26" s="431"/>
      <c r="G26" s="561"/>
      <c r="H26" s="462"/>
    </row>
    <row r="27" spans="2:18" x14ac:dyDescent="0.3">
      <c r="B27" s="367" t="s">
        <v>1150</v>
      </c>
      <c r="C27" s="365" t="s">
        <v>345</v>
      </c>
      <c r="D27" s="368"/>
      <c r="E27" s="368">
        <f>[2]Ipswich!$D27</f>
        <v>12000</v>
      </c>
      <c r="F27" s="368"/>
      <c r="G27" s="366"/>
      <c r="H27" s="462"/>
      <c r="N27" s="33" t="s">
        <v>1369</v>
      </c>
      <c r="O27" s="33" t="s">
        <v>1370</v>
      </c>
      <c r="P27" s="33" t="s">
        <v>1367</v>
      </c>
    </row>
    <row r="28" spans="2:18" x14ac:dyDescent="0.3">
      <c r="B28" s="540" t="s">
        <v>1384</v>
      </c>
      <c r="C28" s="365" t="s">
        <v>346</v>
      </c>
      <c r="D28" s="368"/>
      <c r="E28" s="368">
        <f>[2]Ipswich!$D28</f>
        <v>49000</v>
      </c>
      <c r="F28" s="368"/>
      <c r="G28" s="375"/>
      <c r="H28" s="462"/>
      <c r="N28" s="33" t="s">
        <v>1369</v>
      </c>
      <c r="O28" s="33" t="s">
        <v>1370</v>
      </c>
      <c r="P28" s="33" t="s">
        <v>1367</v>
      </c>
    </row>
    <row r="29" spans="2:18" x14ac:dyDescent="0.3">
      <c r="B29" s="367" t="s">
        <v>1151</v>
      </c>
      <c r="C29" s="365" t="s">
        <v>347</v>
      </c>
      <c r="D29" s="368"/>
      <c r="E29" s="368">
        <f>[2]Ipswich!$D29</f>
        <v>3500</v>
      </c>
      <c r="F29" s="368"/>
      <c r="G29" s="366"/>
      <c r="H29" s="462"/>
      <c r="N29" s="33" t="s">
        <v>1369</v>
      </c>
      <c r="O29" s="33" t="s">
        <v>1370</v>
      </c>
      <c r="P29" s="33" t="s">
        <v>1367</v>
      </c>
    </row>
    <row r="30" spans="2:18" x14ac:dyDescent="0.3">
      <c r="B30" s="540"/>
      <c r="C30" s="365" t="s">
        <v>606</v>
      </c>
      <c r="D30" s="368">
        <v>-20000</v>
      </c>
      <c r="E30" s="368"/>
      <c r="F30" s="447">
        <f>D30</f>
        <v>-20000</v>
      </c>
      <c r="G30" s="375"/>
      <c r="H30" s="462"/>
    </row>
    <row r="31" spans="2:18" s="32" customFormat="1" ht="14.5" thickBot="1" x14ac:dyDescent="0.35">
      <c r="B31" s="562" t="s">
        <v>1152</v>
      </c>
      <c r="C31" s="302" t="s">
        <v>348</v>
      </c>
      <c r="D31" s="363">
        <f>[3]Ipswich!$I$33+D30</f>
        <v>106410</v>
      </c>
      <c r="E31" s="363">
        <f>SUM(E27:E29)</f>
        <v>64500</v>
      </c>
      <c r="F31" s="363">
        <f t="shared" si="0"/>
        <v>41910</v>
      </c>
      <c r="G31" s="364">
        <f t="shared" si="1"/>
        <v>0.60609999999999997</v>
      </c>
      <c r="H31" s="455">
        <f t="shared" si="2"/>
        <v>0.60609999999999997</v>
      </c>
      <c r="R31" s="33"/>
    </row>
    <row r="32" spans="2:18" ht="14.25" customHeight="1" x14ac:dyDescent="0.3">
      <c r="B32" s="429"/>
      <c r="C32" s="459"/>
      <c r="D32" s="432"/>
      <c r="E32" s="431"/>
      <c r="F32" s="431"/>
      <c r="G32" s="561"/>
      <c r="H32" s="462"/>
    </row>
    <row r="33" spans="2:16" x14ac:dyDescent="0.3">
      <c r="B33" s="526" t="s">
        <v>1153</v>
      </c>
      <c r="C33" s="527" t="s">
        <v>349</v>
      </c>
      <c r="D33" s="528">
        <f>[3]Ipswich!$I$35</f>
        <v>51617</v>
      </c>
      <c r="E33" s="368">
        <f>[2]Ipswich!$D$33</f>
        <v>25333</v>
      </c>
      <c r="F33" s="434">
        <f t="shared" si="0"/>
        <v>26284</v>
      </c>
      <c r="G33" s="375">
        <f t="shared" si="1"/>
        <v>0.49080000000000001</v>
      </c>
      <c r="H33" s="462"/>
      <c r="N33" s="33" t="s">
        <v>1372</v>
      </c>
      <c r="O33" s="33" t="s">
        <v>1370</v>
      </c>
      <c r="P33" s="33" t="s">
        <v>1367</v>
      </c>
    </row>
    <row r="34" spans="2:16" x14ac:dyDescent="0.3">
      <c r="B34" s="373"/>
      <c r="C34" s="365" t="s">
        <v>606</v>
      </c>
      <c r="D34" s="368"/>
      <c r="E34" s="368"/>
      <c r="F34" s="368">
        <f t="shared" si="0"/>
        <v>0</v>
      </c>
      <c r="G34" s="375"/>
      <c r="H34" s="462"/>
    </row>
    <row r="35" spans="2:16" s="32" customFormat="1" ht="14.5" thickBot="1" x14ac:dyDescent="0.35">
      <c r="B35" s="622" t="s">
        <v>1153</v>
      </c>
      <c r="C35" s="623" t="s">
        <v>349</v>
      </c>
      <c r="D35" s="618">
        <f>SUM(D33:D34)</f>
        <v>51617</v>
      </c>
      <c r="E35" s="618">
        <f>SUM(E33:E33)</f>
        <v>25333</v>
      </c>
      <c r="F35" s="618">
        <f t="shared" si="0"/>
        <v>26284</v>
      </c>
      <c r="G35" s="619">
        <f t="shared" si="1"/>
        <v>0.49080000000000001</v>
      </c>
      <c r="H35" s="455">
        <f t="shared" si="2"/>
        <v>0.49080000000000001</v>
      </c>
    </row>
    <row r="36" spans="2:16" ht="14.25" customHeight="1" x14ac:dyDescent="0.3">
      <c r="B36" s="383"/>
      <c r="C36" s="365"/>
      <c r="D36" s="368"/>
      <c r="E36" s="368"/>
      <c r="F36" s="368"/>
      <c r="G36" s="385"/>
      <c r="H36" s="462"/>
    </row>
    <row r="37" spans="2:16" s="32" customFormat="1" ht="14.5" thickBot="1" x14ac:dyDescent="0.35">
      <c r="B37" s="383" t="s">
        <v>1154</v>
      </c>
      <c r="C37" s="623" t="s">
        <v>350</v>
      </c>
      <c r="D37" s="618">
        <f>[3]Ipswich!$I$38</f>
        <v>67813</v>
      </c>
      <c r="E37" s="618">
        <f>[2]Ipswich!$D$37</f>
        <v>45209</v>
      </c>
      <c r="F37" s="618">
        <f t="shared" si="0"/>
        <v>22604</v>
      </c>
      <c r="G37" s="619">
        <f t="shared" si="1"/>
        <v>0.66669999999999996</v>
      </c>
      <c r="H37" s="467">
        <f t="shared" si="2"/>
        <v>0.66669999999999996</v>
      </c>
      <c r="N37" s="33" t="s">
        <v>1372</v>
      </c>
      <c r="O37" s="33" t="s">
        <v>1370</v>
      </c>
      <c r="P37" s="33" t="s">
        <v>1367</v>
      </c>
    </row>
    <row r="38" spans="2:16" ht="14.25" customHeight="1" x14ac:dyDescent="0.3">
      <c r="B38" s="383"/>
      <c r="C38" s="459"/>
      <c r="D38" s="431"/>
      <c r="E38" s="431"/>
      <c r="F38" s="431"/>
      <c r="G38" s="561"/>
      <c r="H38" s="462"/>
    </row>
    <row r="39" spans="2:16" s="32" customFormat="1" ht="14.5" thickBot="1" x14ac:dyDescent="0.35">
      <c r="B39" s="622" t="s">
        <v>1651</v>
      </c>
      <c r="C39" s="623" t="s">
        <v>1652</v>
      </c>
      <c r="D39" s="618">
        <f>[3]Ipswich!$I$40</f>
        <v>61287</v>
      </c>
      <c r="E39" s="618">
        <f>[2]Ipswich!$D$39</f>
        <v>7200</v>
      </c>
      <c r="F39" s="618">
        <f t="shared" si="0"/>
        <v>54087</v>
      </c>
      <c r="G39" s="619">
        <f t="shared" si="1"/>
        <v>0.11749999999999999</v>
      </c>
      <c r="H39" s="462"/>
      <c r="N39" s="33" t="s">
        <v>1372</v>
      </c>
      <c r="O39" s="33" t="s">
        <v>1370</v>
      </c>
      <c r="P39" s="33" t="s">
        <v>1367</v>
      </c>
    </row>
    <row r="40" spans="2:16" s="32" customFormat="1" x14ac:dyDescent="0.3">
      <c r="B40" s="653"/>
      <c r="C40" s="654"/>
      <c r="D40" s="368"/>
      <c r="E40" s="368"/>
      <c r="F40" s="368"/>
      <c r="G40" s="375"/>
      <c r="H40" s="462"/>
      <c r="N40" s="33"/>
      <c r="O40" s="33"/>
      <c r="P40" s="33"/>
    </row>
    <row r="41" spans="2:16" s="32" customFormat="1" ht="14.5" thickBot="1" x14ac:dyDescent="0.35">
      <c r="B41" s="622" t="s">
        <v>1155</v>
      </c>
      <c r="C41" s="623" t="s">
        <v>1653</v>
      </c>
      <c r="D41" s="618">
        <f>[3]Ipswich!$I$44</f>
        <v>32100</v>
      </c>
      <c r="E41" s="618">
        <f>[2]Ipswich!$D$41</f>
        <v>19200</v>
      </c>
      <c r="F41" s="618">
        <f t="shared" si="0"/>
        <v>12900</v>
      </c>
      <c r="G41" s="619">
        <f t="shared" si="1"/>
        <v>0.59809999999999997</v>
      </c>
      <c r="H41" s="455" t="e">
        <f>#REF!</f>
        <v>#REF!</v>
      </c>
      <c r="N41" s="33"/>
      <c r="O41" s="33"/>
      <c r="P41" s="33"/>
    </row>
    <row r="42" spans="2:16" ht="14.25" customHeight="1" x14ac:dyDescent="0.3">
      <c r="B42" s="613"/>
      <c r="C42" s="611"/>
      <c r="D42" s="368"/>
      <c r="E42" s="368"/>
      <c r="F42" s="368"/>
      <c r="G42" s="375"/>
      <c r="H42" s="462"/>
    </row>
    <row r="43" spans="2:16" ht="14.5" thickBot="1" x14ac:dyDescent="0.35">
      <c r="B43" s="614" t="s">
        <v>1654</v>
      </c>
      <c r="C43" s="615" t="s">
        <v>1655</v>
      </c>
      <c r="D43" s="616">
        <f>[3]Ipswich!$I$42</f>
        <v>2911</v>
      </c>
      <c r="E43" s="616">
        <f>[2]Ipswich!$D$43</f>
        <v>0</v>
      </c>
      <c r="F43" s="616">
        <f t="shared" si="0"/>
        <v>2911</v>
      </c>
      <c r="G43" s="617">
        <f t="shared" si="1"/>
        <v>0</v>
      </c>
      <c r="H43" s="462"/>
      <c r="N43" s="33" t="s">
        <v>1369</v>
      </c>
      <c r="O43" s="33" t="s">
        <v>1366</v>
      </c>
      <c r="P43" s="33" t="s">
        <v>1367</v>
      </c>
    </row>
    <row r="44" spans="2:16" s="32" customFormat="1" x14ac:dyDescent="0.3">
      <c r="B44" s="540"/>
      <c r="C44" s="365"/>
      <c r="D44" s="368"/>
      <c r="E44" s="368"/>
      <c r="F44" s="368"/>
      <c r="G44" s="564"/>
      <c r="H44" s="467">
        <f>G46</f>
        <v>0.6643</v>
      </c>
    </row>
    <row r="45" spans="2:16" ht="14.25" customHeight="1" x14ac:dyDescent="0.3">
      <c r="B45" s="540" t="s">
        <v>1156</v>
      </c>
      <c r="C45" s="365" t="s">
        <v>352</v>
      </c>
      <c r="D45" s="368">
        <f>[3]Ipswich!$I$48</f>
        <v>37052</v>
      </c>
      <c r="E45" s="368">
        <f>[2]Ipswich!$D$47</f>
        <v>24615</v>
      </c>
      <c r="F45" s="368">
        <f t="shared" si="0"/>
        <v>12437</v>
      </c>
      <c r="G45" s="375">
        <f t="shared" si="1"/>
        <v>0.6643</v>
      </c>
    </row>
    <row r="46" spans="2:16" ht="14.25" customHeight="1" thickBot="1" x14ac:dyDescent="0.35">
      <c r="B46" s="622"/>
      <c r="C46" s="623" t="s">
        <v>352</v>
      </c>
      <c r="D46" s="618">
        <f>SUM(D45:D45)</f>
        <v>37052</v>
      </c>
      <c r="E46" s="618">
        <f>SUM(E45:E45)</f>
        <v>24615</v>
      </c>
      <c r="F46" s="618">
        <f t="shared" si="0"/>
        <v>12437</v>
      </c>
      <c r="G46" s="619">
        <f t="shared" si="1"/>
        <v>0.6643</v>
      </c>
    </row>
    <row r="47" spans="2:16" ht="14.25" customHeight="1" x14ac:dyDescent="0.3">
      <c r="B47" s="560"/>
      <c r="C47" s="459"/>
      <c r="D47" s="431"/>
      <c r="E47" s="431"/>
      <c r="F47" s="431"/>
      <c r="G47" s="561"/>
    </row>
    <row r="48" spans="2:16" ht="14.5" thickBot="1" x14ac:dyDescent="0.35">
      <c r="B48" s="622" t="s">
        <v>1157</v>
      </c>
      <c r="C48" s="623" t="s">
        <v>351</v>
      </c>
      <c r="D48" s="618">
        <f>[3]Ipswich!$I$52</f>
        <v>53766</v>
      </c>
      <c r="E48" s="618">
        <f>[2]Ipswich!$D$50</f>
        <v>22280</v>
      </c>
      <c r="F48" s="618">
        <f t="shared" si="0"/>
        <v>31486</v>
      </c>
      <c r="G48" s="619">
        <f t="shared" si="1"/>
        <v>0.41439999999999999</v>
      </c>
    </row>
    <row r="49" spans="2:7" x14ac:dyDescent="0.3">
      <c r="B49" s="540"/>
      <c r="C49" s="365"/>
      <c r="D49" s="368"/>
      <c r="E49" s="368"/>
      <c r="F49" s="368"/>
      <c r="G49" s="385"/>
    </row>
    <row r="50" spans="2:7" ht="14.5" thickBot="1" x14ac:dyDescent="0.35">
      <c r="B50" s="442" t="s">
        <v>1632</v>
      </c>
      <c r="C50" s="468" t="s">
        <v>1629</v>
      </c>
      <c r="D50" s="370">
        <f>[3]Ipswich!$I$58</f>
        <v>0</v>
      </c>
      <c r="E50" s="370"/>
      <c r="F50" s="370"/>
      <c r="G50" s="399"/>
    </row>
    <row r="51" spans="2:7" x14ac:dyDescent="0.3">
      <c r="B51" s="373"/>
      <c r="C51" s="365"/>
      <c r="D51" s="368"/>
      <c r="E51" s="368"/>
      <c r="F51" s="368"/>
      <c r="G51" s="375"/>
    </row>
    <row r="52" spans="2:7" s="32" customFormat="1" ht="14.5" thickBot="1" x14ac:dyDescent="0.35">
      <c r="B52" s="565"/>
      <c r="C52" s="302" t="s">
        <v>607</v>
      </c>
      <c r="D52" s="363">
        <f>SUM(D48,D46,D39,D37,D33,D25,D23,D21,D19,D14,D12,D10,D8,D31,D41,D43)-D30</f>
        <v>851373</v>
      </c>
      <c r="E52" s="363">
        <f>SUM(E48,E46,E39,E37,E33,E25,E23,E21,E19,E14,E12,E10,E8,E31,E41,E43)-E30</f>
        <v>406828</v>
      </c>
      <c r="F52" s="363">
        <f>D52-E52</f>
        <v>444545</v>
      </c>
      <c r="G52" s="428">
        <f>ROUND((E52/D52),4)</f>
        <v>0.4778</v>
      </c>
    </row>
    <row r="53" spans="2:7" ht="14.25" customHeight="1" x14ac:dyDescent="0.3">
      <c r="B53" s="540"/>
      <c r="C53" s="533"/>
      <c r="D53" s="440"/>
      <c r="E53" s="440"/>
      <c r="F53" s="440"/>
      <c r="G53" s="566"/>
    </row>
    <row r="54" spans="2:7" x14ac:dyDescent="0.3">
      <c r="B54" s="540"/>
      <c r="C54" s="533" t="s">
        <v>1601</v>
      </c>
      <c r="D54" s="440">
        <f>D44+D34+D30</f>
        <v>-20000</v>
      </c>
      <c r="E54" s="440"/>
      <c r="F54" s="440">
        <f>F44+F34+F30</f>
        <v>-20000</v>
      </c>
      <c r="G54" s="566"/>
    </row>
    <row r="55" spans="2:7" x14ac:dyDescent="0.3">
      <c r="B55" s="383"/>
      <c r="C55" s="533"/>
      <c r="D55" s="440"/>
      <c r="E55" s="440"/>
      <c r="F55" s="440"/>
      <c r="G55" s="566"/>
    </row>
    <row r="56" spans="2:7" ht="14.5" thickBot="1" x14ac:dyDescent="0.35">
      <c r="B56" s="567"/>
      <c r="C56" s="302" t="s">
        <v>1530</v>
      </c>
      <c r="D56" s="363">
        <f>D52+D30+D34+D44</f>
        <v>831373</v>
      </c>
      <c r="E56" s="363">
        <f>E52</f>
        <v>406828</v>
      </c>
      <c r="F56" s="363">
        <f>F52+F30+F34+F44</f>
        <v>424545</v>
      </c>
      <c r="G56" s="428">
        <f>E56/D56</f>
        <v>0.48934473455356381</v>
      </c>
    </row>
    <row r="57" spans="2:7" x14ac:dyDescent="0.3">
      <c r="B57" s="560"/>
      <c r="C57" s="365"/>
      <c r="D57" s="368"/>
      <c r="E57" s="368"/>
      <c r="F57" s="368"/>
      <c r="G57" s="375"/>
    </row>
    <row r="58" spans="2:7" ht="14.5" thickBot="1" x14ac:dyDescent="0.35">
      <c r="B58" s="565"/>
      <c r="C58" s="302" t="s">
        <v>1657</v>
      </c>
      <c r="D58" s="363">
        <f>[5]Summary!$D$28</f>
        <v>787048</v>
      </c>
      <c r="E58" s="363">
        <f>[6]Ipswich!$D$50</f>
        <v>397809</v>
      </c>
      <c r="F58" s="363">
        <f>D58-E58</f>
        <v>389239</v>
      </c>
      <c r="G58" s="428">
        <f>E58/D58</f>
        <v>0.50544439475101899</v>
      </c>
    </row>
    <row r="61" spans="2:7" x14ac:dyDescent="0.3">
      <c r="G61" s="33"/>
    </row>
    <row r="62" spans="2:7" x14ac:dyDescent="0.3">
      <c r="G62" s="33"/>
    </row>
    <row r="63" spans="2:7" x14ac:dyDescent="0.3">
      <c r="G63" s="33"/>
    </row>
    <row r="64" spans="2:7" x14ac:dyDescent="0.3">
      <c r="G64" s="33"/>
    </row>
  </sheetData>
  <mergeCells count="1">
    <mergeCell ref="D4:E4"/>
  </mergeCells>
  <pageMargins left="0.31496062992125984" right="0.31496062992125984" top="0.35433070866141736" bottom="0.35433070866141736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P45"/>
  <sheetViews>
    <sheetView topLeftCell="A27" zoomScaleNormal="100" workbookViewId="0">
      <selection activeCell="B36" sqref="B36:G36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55.33203125" style="33" bestFit="1" customWidth="1"/>
    <col min="4" max="6" width="12" style="33" bestFit="1" customWidth="1"/>
    <col min="7" max="7" width="12.5" style="214" bestFit="1" customWidth="1"/>
    <col min="8" max="8" width="9.83203125" style="33" hidden="1" customWidth="1"/>
    <col min="9" max="10" width="9" style="33" hidden="1" customWidth="1"/>
    <col min="11" max="11" width="19.75" style="33" hidden="1" customWidth="1"/>
    <col min="12" max="12" width="9" style="33" hidden="1" customWidth="1"/>
    <col min="13" max="13" width="2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8" width="9" style="33" customWidth="1"/>
    <col min="19" max="16384" width="8.58203125" style="33"/>
  </cols>
  <sheetData>
    <row r="1" spans="2:16" ht="14.5" thickBot="1" x14ac:dyDescent="0.35"/>
    <row r="2" spans="2:16" s="404" customFormat="1" ht="22.5" x14ac:dyDescent="0.45">
      <c r="B2" s="405"/>
      <c r="C2" s="568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COUNTIF(H8:H52,"&gt;1")</f>
        <v>0</v>
      </c>
    </row>
    <row r="4" spans="2:16" s="32" customFormat="1" ht="18" thickBot="1" x14ac:dyDescent="0.4">
      <c r="B4" s="413"/>
      <c r="C4" s="521" t="s">
        <v>275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COUNTIF(H8:H52,1)</f>
        <v>0</v>
      </c>
    </row>
    <row r="5" spans="2:16" ht="14.25" customHeight="1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3</v>
      </c>
    </row>
    <row r="6" spans="2:16" s="32" customFormat="1" ht="14.25" customHeight="1" thickBot="1" x14ac:dyDescent="0.35">
      <c r="B6" s="418" t="s">
        <v>592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4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422"/>
      <c r="C7" s="424"/>
      <c r="D7" s="471"/>
      <c r="E7" s="471"/>
      <c r="F7" s="471"/>
      <c r="G7" s="412"/>
      <c r="K7" s="33" t="s">
        <v>547</v>
      </c>
      <c r="L7" s="33">
        <v>0</v>
      </c>
    </row>
    <row r="8" spans="2:16" s="32" customFormat="1" ht="14.5" thickBot="1" x14ac:dyDescent="0.35">
      <c r="B8" s="535" t="s">
        <v>1078</v>
      </c>
      <c r="C8" s="623" t="s">
        <v>276</v>
      </c>
      <c r="D8" s="618">
        <f>[3]Colneys!$I$8</f>
        <v>65933</v>
      </c>
      <c r="E8" s="618">
        <f>[2]Colneys!$D$8</f>
        <v>44600</v>
      </c>
      <c r="F8" s="618">
        <f>D8-E8</f>
        <v>21333</v>
      </c>
      <c r="G8" s="624">
        <f>ROUND((E8/D8),4)</f>
        <v>0.6764</v>
      </c>
      <c r="H8" s="455">
        <f>G8</f>
        <v>0.6764</v>
      </c>
      <c r="J8" s="33"/>
      <c r="K8" s="33"/>
      <c r="L8" s="33">
        <f>SUM(L3:L7)</f>
        <v>7</v>
      </c>
      <c r="N8" s="33" t="s">
        <v>1372</v>
      </c>
      <c r="O8" s="33" t="s">
        <v>1370</v>
      </c>
      <c r="P8" s="33" t="s">
        <v>1367</v>
      </c>
    </row>
    <row r="9" spans="2:16" x14ac:dyDescent="0.3">
      <c r="B9" s="373"/>
      <c r="C9" s="459"/>
      <c r="D9" s="368"/>
      <c r="E9" s="368"/>
      <c r="F9" s="368"/>
      <c r="G9" s="456"/>
      <c r="H9" s="455"/>
    </row>
    <row r="10" spans="2:16" s="32" customFormat="1" ht="14.5" thickBot="1" x14ac:dyDescent="0.35">
      <c r="B10" s="535" t="s">
        <v>1079</v>
      </c>
      <c r="C10" s="623" t="s">
        <v>277</v>
      </c>
      <c r="D10" s="618">
        <f>[3]Colneys!$I$10</f>
        <v>73779</v>
      </c>
      <c r="E10" s="618">
        <f>[2]Colneys!$D$10</f>
        <v>49184</v>
      </c>
      <c r="F10" s="618">
        <f t="shared" ref="F10:F38" si="0">D10-E10</f>
        <v>24595</v>
      </c>
      <c r="G10" s="624">
        <f t="shared" ref="G10:G38" si="1">ROUND((E10/D10),4)</f>
        <v>0.66659999999999997</v>
      </c>
      <c r="H10" s="455">
        <f t="shared" ref="H10:H36" si="2">G10</f>
        <v>0.66659999999999997</v>
      </c>
      <c r="K10" s="33"/>
      <c r="L10" s="33"/>
      <c r="N10" s="33" t="s">
        <v>1365</v>
      </c>
      <c r="O10" s="33" t="s">
        <v>1366</v>
      </c>
      <c r="P10" s="33" t="s">
        <v>1367</v>
      </c>
    </row>
    <row r="11" spans="2:16" s="32" customFormat="1" x14ac:dyDescent="0.3">
      <c r="B11" s="436"/>
      <c r="C11" s="533"/>
      <c r="D11" s="440"/>
      <c r="E11" s="440"/>
      <c r="F11" s="440"/>
      <c r="G11" s="499"/>
      <c r="H11" s="455"/>
      <c r="K11" s="33"/>
      <c r="L11" s="33"/>
      <c r="N11" s="33"/>
      <c r="O11" s="33"/>
      <c r="P11" s="33"/>
    </row>
    <row r="12" spans="2:16" s="32" customFormat="1" x14ac:dyDescent="0.3">
      <c r="B12" s="367" t="s">
        <v>1624</v>
      </c>
      <c r="C12" s="365" t="s">
        <v>278</v>
      </c>
      <c r="D12" s="402">
        <f>[3]Colneys!$I$13</f>
        <v>52223</v>
      </c>
      <c r="E12" s="402">
        <f>[2]Colneys!$D12</f>
        <v>14625</v>
      </c>
      <c r="F12" s="368">
        <f t="shared" si="0"/>
        <v>37598</v>
      </c>
      <c r="G12" s="549">
        <f t="shared" si="1"/>
        <v>0.28000000000000003</v>
      </c>
      <c r="H12" s="455"/>
      <c r="K12" s="33"/>
      <c r="L12" s="33"/>
      <c r="N12" s="33"/>
      <c r="O12" s="33"/>
      <c r="P12" s="33"/>
    </row>
    <row r="13" spans="2:16" s="32" customFormat="1" x14ac:dyDescent="0.3">
      <c r="B13" s="635" t="s">
        <v>1625</v>
      </c>
      <c r="C13" s="636" t="s">
        <v>1626</v>
      </c>
      <c r="D13" s="649">
        <f>[3]Colneys!$I$14</f>
        <v>7500</v>
      </c>
      <c r="E13" s="649">
        <f>[2]Colneys!$D13</f>
        <v>0</v>
      </c>
      <c r="F13" s="637">
        <f t="shared" si="0"/>
        <v>7500</v>
      </c>
      <c r="G13" s="650">
        <f t="shared" si="1"/>
        <v>0</v>
      </c>
      <c r="H13" s="455"/>
      <c r="K13" s="33"/>
      <c r="L13" s="33"/>
      <c r="N13" s="33"/>
      <c r="O13" s="33"/>
      <c r="P13" s="33"/>
    </row>
    <row r="14" spans="2:16" x14ac:dyDescent="0.3">
      <c r="B14" s="635" t="s">
        <v>1628</v>
      </c>
      <c r="C14" s="636" t="s">
        <v>1627</v>
      </c>
      <c r="D14" s="649">
        <f>[3]Colneys!$I$15</f>
        <v>7500</v>
      </c>
      <c r="E14" s="649">
        <f>[2]Colneys!$D14</f>
        <v>0</v>
      </c>
      <c r="F14" s="637">
        <f t="shared" si="0"/>
        <v>7500</v>
      </c>
      <c r="G14" s="650">
        <f t="shared" si="1"/>
        <v>0</v>
      </c>
      <c r="H14" s="455"/>
    </row>
    <row r="15" spans="2:16" s="32" customFormat="1" ht="14.5" thickBot="1" x14ac:dyDescent="0.35">
      <c r="B15" s="301" t="s">
        <v>1080</v>
      </c>
      <c r="C15" s="302" t="s">
        <v>278</v>
      </c>
      <c r="D15" s="363">
        <f>SUM(D12:D14)</f>
        <v>67223</v>
      </c>
      <c r="E15" s="363">
        <f>SUM(E12:E14)</f>
        <v>14625</v>
      </c>
      <c r="F15" s="363">
        <f t="shared" si="0"/>
        <v>52598</v>
      </c>
      <c r="G15" s="403">
        <f t="shared" si="1"/>
        <v>0.21759999999999999</v>
      </c>
      <c r="H15" s="455">
        <f t="shared" si="2"/>
        <v>0.21759999999999999</v>
      </c>
      <c r="N15" s="33" t="s">
        <v>1369</v>
      </c>
      <c r="O15" s="33" t="s">
        <v>1370</v>
      </c>
      <c r="P15" s="33" t="s">
        <v>1367</v>
      </c>
    </row>
    <row r="16" spans="2:16" x14ac:dyDescent="0.3">
      <c r="B16" s="367"/>
      <c r="C16" s="569"/>
      <c r="D16" s="368"/>
      <c r="E16" s="368"/>
      <c r="F16" s="368"/>
      <c r="G16" s="366"/>
      <c r="H16" s="455"/>
    </row>
    <row r="17" spans="2:16" x14ac:dyDescent="0.3">
      <c r="B17" s="367" t="s">
        <v>1081</v>
      </c>
      <c r="C17" s="365" t="s">
        <v>279</v>
      </c>
      <c r="D17" s="402">
        <f>[3]Colneys!$I$18</f>
        <v>8007</v>
      </c>
      <c r="E17" s="402">
        <f>[2]Colneys!$D17</f>
        <v>4350</v>
      </c>
      <c r="F17" s="368">
        <f t="shared" si="0"/>
        <v>3657</v>
      </c>
      <c r="G17" s="366">
        <f t="shared" si="1"/>
        <v>0.54330000000000001</v>
      </c>
      <c r="H17" s="455"/>
      <c r="N17" s="33" t="s">
        <v>1369</v>
      </c>
      <c r="O17" s="33" t="s">
        <v>1366</v>
      </c>
      <c r="P17" s="33" t="s">
        <v>1368</v>
      </c>
    </row>
    <row r="18" spans="2:16" x14ac:dyDescent="0.3">
      <c r="B18" s="367" t="s">
        <v>1082</v>
      </c>
      <c r="C18" s="570" t="s">
        <v>280</v>
      </c>
      <c r="D18" s="368">
        <f>[3]Colneys!$I$19</f>
        <v>62629</v>
      </c>
      <c r="E18" s="402">
        <f>[2]Colneys!$D18</f>
        <v>41700</v>
      </c>
      <c r="F18" s="368">
        <f t="shared" si="0"/>
        <v>20929</v>
      </c>
      <c r="G18" s="366">
        <f t="shared" si="1"/>
        <v>0.66579999999999995</v>
      </c>
      <c r="H18" s="455"/>
      <c r="N18" s="33" t="s">
        <v>1369</v>
      </c>
      <c r="O18" s="33" t="s">
        <v>1370</v>
      </c>
      <c r="P18" s="33" t="s">
        <v>1367</v>
      </c>
    </row>
    <row r="19" spans="2:16" s="32" customFormat="1" ht="14.5" thickBot="1" x14ac:dyDescent="0.35">
      <c r="B19" s="301" t="s">
        <v>1083</v>
      </c>
      <c r="C19" s="302" t="s">
        <v>292</v>
      </c>
      <c r="D19" s="363">
        <f>SUM(D17:D18)</f>
        <v>70636</v>
      </c>
      <c r="E19" s="363">
        <f>SUM(E17:E18)</f>
        <v>46050</v>
      </c>
      <c r="F19" s="363">
        <f t="shared" si="0"/>
        <v>24586</v>
      </c>
      <c r="G19" s="403">
        <f t="shared" si="1"/>
        <v>0.65190000000000003</v>
      </c>
      <c r="H19" s="455">
        <f t="shared" si="2"/>
        <v>0.65190000000000003</v>
      </c>
    </row>
    <row r="20" spans="2:16" x14ac:dyDescent="0.3">
      <c r="B20" s="373"/>
      <c r="C20" s="459"/>
      <c r="D20" s="368"/>
      <c r="E20" s="368"/>
      <c r="F20" s="368"/>
      <c r="G20" s="456"/>
      <c r="H20" s="455"/>
    </row>
    <row r="21" spans="2:16" s="32" customFormat="1" ht="14.5" thickBot="1" x14ac:dyDescent="0.35">
      <c r="B21" s="535" t="s">
        <v>1084</v>
      </c>
      <c r="C21" s="623" t="s">
        <v>281</v>
      </c>
      <c r="D21" s="618">
        <f>[3]Colneys!$I$22</f>
        <v>56844</v>
      </c>
      <c r="E21" s="618">
        <f>[2]Colneys!$D$21</f>
        <v>37896</v>
      </c>
      <c r="F21" s="618">
        <f t="shared" si="0"/>
        <v>18948</v>
      </c>
      <c r="G21" s="624">
        <f t="shared" si="1"/>
        <v>0.66669999999999996</v>
      </c>
      <c r="H21" s="455">
        <f t="shared" si="2"/>
        <v>0.66669999999999996</v>
      </c>
      <c r="N21" s="33" t="s">
        <v>1369</v>
      </c>
      <c r="O21" s="33" t="s">
        <v>1370</v>
      </c>
      <c r="P21" s="33" t="s">
        <v>1367</v>
      </c>
    </row>
    <row r="22" spans="2:16" x14ac:dyDescent="0.3">
      <c r="B22" s="373"/>
      <c r="C22" s="459"/>
      <c r="D22" s="369"/>
      <c r="E22" s="369"/>
      <c r="F22" s="369"/>
      <c r="G22" s="456"/>
      <c r="H22" s="455"/>
    </row>
    <row r="23" spans="2:16" x14ac:dyDescent="0.3">
      <c r="B23" s="367" t="s">
        <v>1085</v>
      </c>
      <c r="C23" s="365" t="s">
        <v>282</v>
      </c>
      <c r="D23" s="402">
        <f>[3]Colneys!$I$24</f>
        <v>24148</v>
      </c>
      <c r="E23" s="402">
        <f>[2]Colneys!$D23</f>
        <v>16128</v>
      </c>
      <c r="F23" s="368">
        <f t="shared" si="0"/>
        <v>8020</v>
      </c>
      <c r="G23" s="366">
        <f t="shared" si="1"/>
        <v>0.66790000000000005</v>
      </c>
      <c r="H23" s="455"/>
      <c r="N23" s="33" t="s">
        <v>1369</v>
      </c>
      <c r="O23" s="33" t="s">
        <v>1370</v>
      </c>
      <c r="P23" s="33" t="s">
        <v>1367</v>
      </c>
    </row>
    <row r="24" spans="2:16" x14ac:dyDescent="0.3">
      <c r="B24" s="367" t="s">
        <v>1086</v>
      </c>
      <c r="C24" s="365" t="s">
        <v>283</v>
      </c>
      <c r="D24" s="402">
        <f>[3]Colneys!$I$25</f>
        <v>44966</v>
      </c>
      <c r="E24" s="402">
        <f>[2]Colneys!$D24</f>
        <v>29952</v>
      </c>
      <c r="F24" s="368">
        <f t="shared" si="0"/>
        <v>15014</v>
      </c>
      <c r="G24" s="366">
        <f t="shared" si="1"/>
        <v>0.66610000000000003</v>
      </c>
      <c r="H24" s="455"/>
      <c r="N24" s="33" t="s">
        <v>1369</v>
      </c>
      <c r="O24" s="33" t="s">
        <v>1370</v>
      </c>
      <c r="P24" s="33" t="s">
        <v>1367</v>
      </c>
    </row>
    <row r="25" spans="2:16" s="32" customFormat="1" ht="14.5" thickBot="1" x14ac:dyDescent="0.35">
      <c r="B25" s="301" t="s">
        <v>1087</v>
      </c>
      <c r="C25" s="302" t="s">
        <v>284</v>
      </c>
      <c r="D25" s="363">
        <f>SUM(D23:D24)</f>
        <v>69114</v>
      </c>
      <c r="E25" s="363">
        <f>SUM(E23:E24)</f>
        <v>46080</v>
      </c>
      <c r="F25" s="363">
        <f t="shared" si="0"/>
        <v>23034</v>
      </c>
      <c r="G25" s="403">
        <f t="shared" si="1"/>
        <v>0.66669999999999996</v>
      </c>
      <c r="H25" s="455">
        <f t="shared" si="2"/>
        <v>0.66669999999999996</v>
      </c>
    </row>
    <row r="26" spans="2:16" x14ac:dyDescent="0.3">
      <c r="B26" s="373"/>
      <c r="C26" s="459"/>
      <c r="D26" s="369"/>
      <c r="E26" s="369"/>
      <c r="F26" s="369"/>
      <c r="G26" s="456"/>
      <c r="H26" s="455"/>
    </row>
    <row r="27" spans="2:16" x14ac:dyDescent="0.3">
      <c r="B27" s="367" t="s">
        <v>1088</v>
      </c>
      <c r="C27" s="365" t="s">
        <v>285</v>
      </c>
      <c r="D27" s="402">
        <f>[3]Colneys!$I$28</f>
        <v>10415</v>
      </c>
      <c r="E27" s="402">
        <f>[2]Colneys!$D27</f>
        <v>7001</v>
      </c>
      <c r="F27" s="368">
        <f t="shared" ref="F27:F34" si="3">D27-E27</f>
        <v>3414</v>
      </c>
      <c r="G27" s="366">
        <f t="shared" ref="G27:G34" si="4">ROUND((E27/D27),4)</f>
        <v>0.67220000000000002</v>
      </c>
      <c r="H27" s="455"/>
      <c r="N27" s="33" t="s">
        <v>1369</v>
      </c>
      <c r="O27" s="33" t="s">
        <v>1370</v>
      </c>
      <c r="P27" s="33" t="s">
        <v>1367</v>
      </c>
    </row>
    <row r="28" spans="2:16" x14ac:dyDescent="0.3">
      <c r="B28" s="367" t="s">
        <v>1089</v>
      </c>
      <c r="C28" s="365" t="s">
        <v>534</v>
      </c>
      <c r="D28" s="402">
        <f>[3]Colneys!$I$29</f>
        <v>7110</v>
      </c>
      <c r="E28" s="402">
        <f>[2]Colneys!$D28</f>
        <v>4500</v>
      </c>
      <c r="F28" s="368">
        <f t="shared" si="3"/>
        <v>2610</v>
      </c>
      <c r="G28" s="366">
        <f t="shared" si="4"/>
        <v>0.63290000000000002</v>
      </c>
      <c r="H28" s="455"/>
      <c r="N28" s="33" t="s">
        <v>1369</v>
      </c>
      <c r="O28" s="33" t="s">
        <v>1370</v>
      </c>
      <c r="P28" s="33" t="s">
        <v>1367</v>
      </c>
    </row>
    <row r="29" spans="2:16" x14ac:dyDescent="0.3">
      <c r="B29" s="367" t="s">
        <v>851</v>
      </c>
      <c r="C29" s="365" t="s">
        <v>286</v>
      </c>
      <c r="D29" s="368">
        <f>[3]Colneys!$I$30</f>
        <v>2703</v>
      </c>
      <c r="E29" s="402">
        <f>[2]Colneys!$D29</f>
        <v>1600</v>
      </c>
      <c r="F29" s="368">
        <f t="shared" si="3"/>
        <v>1103</v>
      </c>
      <c r="G29" s="366">
        <f t="shared" si="4"/>
        <v>0.59189999999999998</v>
      </c>
      <c r="H29" s="455"/>
      <c r="N29" s="33" t="s">
        <v>1369</v>
      </c>
      <c r="O29" s="33" t="s">
        <v>1370</v>
      </c>
      <c r="P29" s="33" t="s">
        <v>1367</v>
      </c>
    </row>
    <row r="30" spans="2:16" x14ac:dyDescent="0.3">
      <c r="B30" s="367" t="s">
        <v>1090</v>
      </c>
      <c r="C30" s="365" t="s">
        <v>287</v>
      </c>
      <c r="D30" s="368">
        <f>[3]Colneys!$I$31</f>
        <v>19853</v>
      </c>
      <c r="E30" s="402">
        <f>[2]Colneys!$D30</f>
        <v>14000</v>
      </c>
      <c r="F30" s="368">
        <f t="shared" si="3"/>
        <v>5853</v>
      </c>
      <c r="G30" s="366">
        <f t="shared" si="4"/>
        <v>0.70520000000000005</v>
      </c>
      <c r="H30" s="455"/>
      <c r="N30" s="33" t="s">
        <v>1369</v>
      </c>
      <c r="O30" s="33" t="s">
        <v>1370</v>
      </c>
      <c r="P30" s="33" t="s">
        <v>1367</v>
      </c>
    </row>
    <row r="31" spans="2:16" x14ac:dyDescent="0.3">
      <c r="B31" s="644" t="s">
        <v>1091</v>
      </c>
      <c r="C31" s="645" t="s">
        <v>288</v>
      </c>
      <c r="D31" s="651">
        <f>[3]Colneys!$I$32</f>
        <v>7451</v>
      </c>
      <c r="E31" s="651">
        <f>[2]Colneys!$D31</f>
        <v>7451</v>
      </c>
      <c r="F31" s="642">
        <f t="shared" si="3"/>
        <v>0</v>
      </c>
      <c r="G31" s="646">
        <f t="shared" si="4"/>
        <v>1</v>
      </c>
      <c r="H31" s="455"/>
      <c r="N31" s="33" t="s">
        <v>1369</v>
      </c>
      <c r="O31" s="33" t="s">
        <v>1370</v>
      </c>
      <c r="P31" s="33" t="s">
        <v>1367</v>
      </c>
    </row>
    <row r="32" spans="2:16" x14ac:dyDescent="0.3">
      <c r="B32" s="367" t="s">
        <v>1092</v>
      </c>
      <c r="C32" s="365" t="s">
        <v>289</v>
      </c>
      <c r="D32" s="402">
        <f>[3]Colneys!$I$33</f>
        <v>13811</v>
      </c>
      <c r="E32" s="402">
        <f>[2]Colneys!$D32</f>
        <v>9208</v>
      </c>
      <c r="F32" s="368">
        <f t="shared" si="3"/>
        <v>4603</v>
      </c>
      <c r="G32" s="366">
        <f t="shared" si="4"/>
        <v>0.66669999999999996</v>
      </c>
      <c r="H32" s="455"/>
      <c r="N32" s="33" t="s">
        <v>1369</v>
      </c>
      <c r="O32" s="33" t="s">
        <v>1370</v>
      </c>
      <c r="P32" s="33" t="s">
        <v>1367</v>
      </c>
    </row>
    <row r="33" spans="2:16" x14ac:dyDescent="0.3">
      <c r="B33" s="367" t="s">
        <v>1093</v>
      </c>
      <c r="C33" s="365" t="s">
        <v>290</v>
      </c>
      <c r="D33" s="368">
        <f>[3]Colneys!$I$34</f>
        <v>5285</v>
      </c>
      <c r="E33" s="402">
        <f>[2]Colneys!$D33</f>
        <v>1550</v>
      </c>
      <c r="F33" s="368">
        <f t="shared" si="3"/>
        <v>3735</v>
      </c>
      <c r="G33" s="366">
        <f t="shared" si="4"/>
        <v>0.29330000000000001</v>
      </c>
      <c r="H33" s="455"/>
      <c r="N33" s="33" t="s">
        <v>1369</v>
      </c>
      <c r="O33" s="33" t="s">
        <v>1370</v>
      </c>
      <c r="P33" s="33" t="s">
        <v>1367</v>
      </c>
    </row>
    <row r="34" spans="2:16" x14ac:dyDescent="0.3">
      <c r="B34" s="367" t="s">
        <v>1094</v>
      </c>
      <c r="C34" s="365" t="s">
        <v>291</v>
      </c>
      <c r="D34" s="368">
        <f>[3]Colneys!$I$35</f>
        <v>8752</v>
      </c>
      <c r="E34" s="402">
        <f>[2]Colneys!$D34</f>
        <v>5552</v>
      </c>
      <c r="F34" s="368">
        <f t="shared" si="3"/>
        <v>3200</v>
      </c>
      <c r="G34" s="366">
        <f t="shared" si="4"/>
        <v>0.63439999999999996</v>
      </c>
      <c r="H34" s="455"/>
      <c r="N34" s="33" t="s">
        <v>1365</v>
      </c>
      <c r="O34" s="33" t="s">
        <v>1366</v>
      </c>
      <c r="P34" s="33" t="s">
        <v>1367</v>
      </c>
    </row>
    <row r="35" spans="2:16" x14ac:dyDescent="0.3">
      <c r="B35" s="367"/>
      <c r="C35" s="365"/>
      <c r="D35" s="368"/>
      <c r="E35" s="402"/>
      <c r="F35" s="368"/>
      <c r="G35" s="366"/>
      <c r="H35" s="455"/>
    </row>
    <row r="36" spans="2:16" s="32" customFormat="1" ht="14.5" thickBot="1" x14ac:dyDescent="0.35">
      <c r="B36" s="301" t="s">
        <v>1095</v>
      </c>
      <c r="C36" s="608" t="s">
        <v>1648</v>
      </c>
      <c r="D36" s="363">
        <f>SUM(D27:D35)</f>
        <v>75380</v>
      </c>
      <c r="E36" s="363">
        <f>SUM(E27:E34)</f>
        <v>50862</v>
      </c>
      <c r="F36" s="363">
        <f t="shared" si="0"/>
        <v>24518</v>
      </c>
      <c r="G36" s="403">
        <f>ROUND((E36/D36),4)</f>
        <v>0.67469999999999997</v>
      </c>
      <c r="H36" s="455">
        <f t="shared" si="2"/>
        <v>0.67469999999999997</v>
      </c>
    </row>
    <row r="37" spans="2:16" x14ac:dyDescent="0.3">
      <c r="B37" s="373"/>
      <c r="C37" s="459"/>
      <c r="D37" s="368"/>
      <c r="E37" s="368"/>
      <c r="F37" s="368"/>
      <c r="G37" s="456"/>
    </row>
    <row r="38" spans="2:16" s="32" customFormat="1" ht="14.5" thickBot="1" x14ac:dyDescent="0.35">
      <c r="B38" s="571"/>
      <c r="C38" s="302" t="s">
        <v>57</v>
      </c>
      <c r="D38" s="363">
        <f>SUM(D36,D25,D21,D19,D15,D10,D8)</f>
        <v>478909</v>
      </c>
      <c r="E38" s="363">
        <f>SUM(E36,E25,E21,E19,E15,E10,E8)</f>
        <v>289297</v>
      </c>
      <c r="F38" s="363">
        <f t="shared" si="0"/>
        <v>189612</v>
      </c>
      <c r="G38" s="457">
        <f t="shared" si="1"/>
        <v>0.60409999999999997</v>
      </c>
    </row>
    <row r="39" spans="2:16" x14ac:dyDescent="0.3">
      <c r="B39" s="429"/>
      <c r="C39" s="459"/>
      <c r="D39" s="368"/>
      <c r="E39" s="368"/>
      <c r="F39" s="368"/>
      <c r="G39" s="461"/>
    </row>
    <row r="40" spans="2:16" ht="14.5" thickBot="1" x14ac:dyDescent="0.35">
      <c r="B40" s="571"/>
      <c r="C40" s="302" t="s">
        <v>1657</v>
      </c>
      <c r="D40" s="363">
        <f>[5]Summary!$D$18</f>
        <v>473310</v>
      </c>
      <c r="E40" s="363">
        <f>[6]Colneys!$D$37</f>
        <v>290939</v>
      </c>
      <c r="F40" s="363">
        <f>D40-E40</f>
        <v>182371</v>
      </c>
      <c r="G40" s="457">
        <f>E40/D40</f>
        <v>0.61469016078257377</v>
      </c>
    </row>
    <row r="41" spans="2:16" x14ac:dyDescent="0.3">
      <c r="D41" s="572"/>
      <c r="E41" s="572"/>
      <c r="F41" s="572"/>
    </row>
    <row r="42" spans="2:16" x14ac:dyDescent="0.3">
      <c r="D42" s="572"/>
      <c r="E42" s="572"/>
      <c r="F42" s="572"/>
    </row>
    <row r="43" spans="2:16" x14ac:dyDescent="0.3">
      <c r="D43" s="572"/>
      <c r="E43" s="572"/>
      <c r="F43" s="572"/>
    </row>
    <row r="44" spans="2:16" x14ac:dyDescent="0.3">
      <c r="D44" s="572"/>
      <c r="E44" s="572"/>
      <c r="F44" s="572"/>
    </row>
    <row r="45" spans="2:16" x14ac:dyDescent="0.3">
      <c r="D45" s="572"/>
      <c r="E45" s="572"/>
      <c r="F45" s="572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&amp;L&amp;D&amp;R&amp;Z&amp;F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S74"/>
  <sheetViews>
    <sheetView topLeftCell="A54" zoomScaleNormal="100" workbookViewId="0">
      <selection activeCell="B32" sqref="B32:G32"/>
    </sheetView>
  </sheetViews>
  <sheetFormatPr defaultColWidth="8.58203125" defaultRowHeight="14" x14ac:dyDescent="0.3"/>
  <cols>
    <col min="1" max="1" width="9" style="33" customWidth="1"/>
    <col min="2" max="2" width="10.5" style="33" bestFit="1" customWidth="1"/>
    <col min="3" max="3" width="40.58203125" style="33" bestFit="1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19" style="33" hidden="1" customWidth="1"/>
    <col min="12" max="12" width="9" style="33" hidden="1" customWidth="1"/>
    <col min="13" max="13" width="2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7" width="9" style="33" customWidth="1"/>
    <col min="18" max="18" width="0" style="33" hidden="1" customWidth="1"/>
    <col min="19" max="16384" width="8.58203125" style="33"/>
  </cols>
  <sheetData>
    <row r="1" spans="2:18" ht="14.5" thickBot="1" x14ac:dyDescent="0.35"/>
    <row r="2" spans="2:18" s="404" customFormat="1" ht="22.5" x14ac:dyDescent="0.45">
      <c r="B2" s="405"/>
      <c r="C2" s="568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8" ht="14.25" customHeight="1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COUNTIF(H8:H79,"&gt;1")</f>
        <v>0</v>
      </c>
    </row>
    <row r="4" spans="2:18" s="32" customFormat="1" ht="18" thickBot="1" x14ac:dyDescent="0.4">
      <c r="B4" s="413"/>
      <c r="C4" s="543" t="s">
        <v>1643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COUNTIF(H8:H79,1)</f>
        <v>0</v>
      </c>
    </row>
    <row r="5" spans="2:18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f>COUNTIFS(H8:H79,"&gt;="&amp;Target,H8:H79,"&lt;"&amp;1)</f>
        <v>0</v>
      </c>
    </row>
    <row r="6" spans="2:18" s="32" customFormat="1" ht="14.5" thickBot="1" x14ac:dyDescent="0.35">
      <c r="B6" s="418" t="s">
        <v>600</v>
      </c>
      <c r="C6" s="420" t="s">
        <v>28</v>
      </c>
      <c r="D6" s="420" t="s">
        <v>1</v>
      </c>
      <c r="E6" s="420" t="s">
        <v>2</v>
      </c>
      <c r="F6" s="573" t="s">
        <v>3</v>
      </c>
      <c r="G6" s="574" t="s">
        <v>4</v>
      </c>
      <c r="H6" s="32" t="s">
        <v>553</v>
      </c>
      <c r="K6" s="33" t="s">
        <v>1539</v>
      </c>
      <c r="L6" s="33">
        <v>3</v>
      </c>
      <c r="N6" s="32" t="s">
        <v>1362</v>
      </c>
      <c r="O6" s="32" t="s">
        <v>1363</v>
      </c>
      <c r="P6" s="32" t="s">
        <v>1364</v>
      </c>
    </row>
    <row r="7" spans="2:18" x14ac:dyDescent="0.3">
      <c r="B7" s="422"/>
      <c r="C7" s="424"/>
      <c r="D7" s="575"/>
      <c r="E7" s="424"/>
      <c r="F7" s="424"/>
      <c r="G7" s="425"/>
      <c r="K7" s="33" t="s">
        <v>547</v>
      </c>
      <c r="L7" s="33">
        <v>0</v>
      </c>
    </row>
    <row r="8" spans="2:18" x14ac:dyDescent="0.3">
      <c r="B8" s="367" t="s">
        <v>1096</v>
      </c>
      <c r="C8" s="365" t="s">
        <v>293</v>
      </c>
      <c r="D8" s="401">
        <f>'[3]Hartismere &amp; Hoxne'!$I$8</f>
        <v>7650</v>
      </c>
      <c r="E8" s="368">
        <f>'[2]Hartismere &amp; Hoxne'!$D8</f>
        <v>4600</v>
      </c>
      <c r="F8" s="368">
        <f>D8-E8</f>
        <v>3050</v>
      </c>
      <c r="G8" s="375">
        <f>ROUND((E8/D8),4)</f>
        <v>0.60129999999999995</v>
      </c>
      <c r="H8" s="462"/>
      <c r="L8" s="33">
        <f>SUM(L3:L7)</f>
        <v>3</v>
      </c>
      <c r="N8" s="33" t="s">
        <v>1369</v>
      </c>
      <c r="O8" s="33" t="s">
        <v>1370</v>
      </c>
      <c r="P8" s="33" t="s">
        <v>1367</v>
      </c>
    </row>
    <row r="9" spans="2:18" x14ac:dyDescent="0.3">
      <c r="B9" s="367" t="s">
        <v>1097</v>
      </c>
      <c r="C9" s="365" t="s">
        <v>294</v>
      </c>
      <c r="D9" s="401">
        <f>'[3]Hartismere &amp; Hoxne'!$I$9</f>
        <v>47927</v>
      </c>
      <c r="E9" s="368">
        <f>'[2]Hartismere &amp; Hoxne'!$D9</f>
        <v>22248</v>
      </c>
      <c r="F9" s="368">
        <f t="shared" ref="F9:F19" si="0">D9-E9</f>
        <v>25679</v>
      </c>
      <c r="G9" s="375">
        <f t="shared" ref="G9:G64" si="1">ROUND((E9/D9),4)</f>
        <v>0.4642</v>
      </c>
      <c r="H9" s="462"/>
      <c r="N9" s="33" t="s">
        <v>1369</v>
      </c>
      <c r="O9" s="33" t="s">
        <v>1370</v>
      </c>
      <c r="P9" s="33" t="s">
        <v>1367</v>
      </c>
    </row>
    <row r="10" spans="2:18" x14ac:dyDescent="0.3">
      <c r="B10" s="373" t="s">
        <v>1098</v>
      </c>
      <c r="C10" s="384" t="s">
        <v>295</v>
      </c>
      <c r="D10" s="369">
        <f>'[3]Hartismere &amp; Hoxne'!$I$10</f>
        <v>10715</v>
      </c>
      <c r="E10" s="369">
        <f>'[2]Hartismere &amp; Hoxne'!$D10</f>
        <v>5250</v>
      </c>
      <c r="F10" s="369">
        <f t="shared" si="0"/>
        <v>5465</v>
      </c>
      <c r="G10" s="375">
        <f t="shared" si="1"/>
        <v>0.49</v>
      </c>
      <c r="H10" s="462"/>
      <c r="N10" s="33" t="s">
        <v>1369</v>
      </c>
      <c r="O10" s="33" t="s">
        <v>1370</v>
      </c>
      <c r="P10" s="33" t="s">
        <v>1367</v>
      </c>
    </row>
    <row r="11" spans="2:18" s="32" customFormat="1" ht="14.5" thickBot="1" x14ac:dyDescent="0.35">
      <c r="B11" s="576" t="s">
        <v>1099</v>
      </c>
      <c r="C11" s="577" t="s">
        <v>296</v>
      </c>
      <c r="D11" s="578">
        <f>SUM(D8:D10)</f>
        <v>66292</v>
      </c>
      <c r="E11" s="579">
        <f>SUM(E8:E10)</f>
        <v>32098</v>
      </c>
      <c r="F11" s="579">
        <f t="shared" si="0"/>
        <v>34194</v>
      </c>
      <c r="G11" s="364">
        <f t="shared" si="1"/>
        <v>0.48420000000000002</v>
      </c>
      <c r="H11" s="455">
        <f t="shared" ref="H11:H32" si="2">G11</f>
        <v>0.48420000000000002</v>
      </c>
      <c r="K11" s="33"/>
    </row>
    <row r="12" spans="2:18" x14ac:dyDescent="0.3">
      <c r="B12" s="429"/>
      <c r="C12" s="459"/>
      <c r="D12" s="580"/>
      <c r="E12" s="431"/>
      <c r="F12" s="431"/>
      <c r="G12" s="561"/>
      <c r="H12" s="462"/>
    </row>
    <row r="13" spans="2:18" x14ac:dyDescent="0.3">
      <c r="B13" s="367" t="s">
        <v>1100</v>
      </c>
      <c r="C13" s="365" t="s">
        <v>297</v>
      </c>
      <c r="D13" s="368">
        <f>'[3]Hartismere &amp; Hoxne'!$I$13</f>
        <v>12398</v>
      </c>
      <c r="E13" s="368">
        <f>'[2]Hartismere &amp; Hoxne'!$D13</f>
        <v>5000</v>
      </c>
      <c r="F13" s="368">
        <f t="shared" si="0"/>
        <v>7398</v>
      </c>
      <c r="G13" s="375">
        <f t="shared" si="1"/>
        <v>0.40329999999999999</v>
      </c>
      <c r="H13" s="462"/>
    </row>
    <row r="14" spans="2:18" x14ac:dyDescent="0.3">
      <c r="B14" s="635" t="s">
        <v>1101</v>
      </c>
      <c r="C14" s="636" t="s">
        <v>298</v>
      </c>
      <c r="D14" s="637">
        <f>'[3]Hartismere &amp; Hoxne'!$I$14</f>
        <v>7438</v>
      </c>
      <c r="E14" s="637">
        <f>'[2]Hartismere &amp; Hoxne'!$D14</f>
        <v>0</v>
      </c>
      <c r="F14" s="637">
        <f t="shared" si="0"/>
        <v>7438</v>
      </c>
      <c r="G14" s="648">
        <f t="shared" si="1"/>
        <v>0</v>
      </c>
      <c r="H14" s="462"/>
      <c r="N14" s="33" t="s">
        <v>1365</v>
      </c>
      <c r="O14" s="33" t="s">
        <v>1366</v>
      </c>
      <c r="P14" s="33" t="s">
        <v>1367</v>
      </c>
    </row>
    <row r="15" spans="2:18" x14ac:dyDescent="0.3">
      <c r="B15" s="367" t="s">
        <v>1102</v>
      </c>
      <c r="C15" s="365" t="s">
        <v>299</v>
      </c>
      <c r="D15" s="368">
        <f>'[3]Hartismere &amp; Hoxne'!$I$15</f>
        <v>16737</v>
      </c>
      <c r="E15" s="368">
        <f>'[2]Hartismere &amp; Hoxne'!$D15</f>
        <v>5000</v>
      </c>
      <c r="F15" s="368">
        <f t="shared" si="0"/>
        <v>11737</v>
      </c>
      <c r="G15" s="375">
        <f t="shared" si="1"/>
        <v>0.29870000000000002</v>
      </c>
      <c r="H15" s="462"/>
      <c r="N15" s="33" t="s">
        <v>1369</v>
      </c>
      <c r="O15" s="33" t="s">
        <v>1366</v>
      </c>
      <c r="P15" s="33" t="s">
        <v>1367</v>
      </c>
      <c r="R15" s="33" t="s">
        <v>1612</v>
      </c>
    </row>
    <row r="16" spans="2:18" x14ac:dyDescent="0.3">
      <c r="B16" s="367" t="s">
        <v>1103</v>
      </c>
      <c r="C16" s="365" t="s">
        <v>300</v>
      </c>
      <c r="D16" s="368">
        <f>'[3]Hartismere &amp; Hoxne'!$I$16</f>
        <v>6199</v>
      </c>
      <c r="E16" s="368">
        <f>'[2]Hartismere &amp; Hoxne'!$D16</f>
        <v>1000</v>
      </c>
      <c r="F16" s="368">
        <f t="shared" si="0"/>
        <v>5199</v>
      </c>
      <c r="G16" s="375">
        <f t="shared" si="1"/>
        <v>0.1613</v>
      </c>
      <c r="H16" s="462"/>
      <c r="R16" s="33" t="s">
        <v>1612</v>
      </c>
    </row>
    <row r="17" spans="2:19" x14ac:dyDescent="0.3">
      <c r="B17" s="367" t="s">
        <v>1104</v>
      </c>
      <c r="C17" s="365" t="s">
        <v>301</v>
      </c>
      <c r="D17" s="368">
        <f>'[3]Hartismere &amp; Hoxne'!$I$17</f>
        <v>5579</v>
      </c>
      <c r="E17" s="368">
        <f>'[2]Hartismere &amp; Hoxne'!$D17</f>
        <v>1250</v>
      </c>
      <c r="F17" s="368">
        <f t="shared" si="0"/>
        <v>4329</v>
      </c>
      <c r="G17" s="375">
        <f t="shared" si="1"/>
        <v>0.22409999999999999</v>
      </c>
      <c r="H17" s="462"/>
      <c r="N17" s="33" t="s">
        <v>1365</v>
      </c>
      <c r="O17" s="33" t="s">
        <v>1366</v>
      </c>
      <c r="R17" s="33" t="s">
        <v>1612</v>
      </c>
    </row>
    <row r="18" spans="2:19" x14ac:dyDescent="0.3">
      <c r="B18" s="373" t="s">
        <v>1105</v>
      </c>
      <c r="C18" s="384" t="s">
        <v>302</v>
      </c>
      <c r="D18" s="369">
        <f>'[3]Hartismere &amp; Hoxne'!$I$18</f>
        <v>13638</v>
      </c>
      <c r="E18" s="369">
        <f>'[2]Hartismere &amp; Hoxne'!$D18</f>
        <v>7138</v>
      </c>
      <c r="F18" s="369">
        <f t="shared" si="0"/>
        <v>6500</v>
      </c>
      <c r="G18" s="375">
        <f t="shared" si="1"/>
        <v>0.52339999999999998</v>
      </c>
      <c r="H18" s="462"/>
      <c r="N18" s="33" t="s">
        <v>1369</v>
      </c>
      <c r="O18" s="33" t="s">
        <v>1366</v>
      </c>
      <c r="P18" s="33" t="s">
        <v>1375</v>
      </c>
    </row>
    <row r="19" spans="2:19" s="32" customFormat="1" ht="14.5" thickBot="1" x14ac:dyDescent="0.35">
      <c r="B19" s="576" t="s">
        <v>853</v>
      </c>
      <c r="C19" s="577" t="s">
        <v>303</v>
      </c>
      <c r="D19" s="578">
        <f>SUM(D13:D18)</f>
        <v>61989</v>
      </c>
      <c r="E19" s="579">
        <f>SUM(E13:E18)</f>
        <v>19388</v>
      </c>
      <c r="F19" s="579">
        <f t="shared" si="0"/>
        <v>42601</v>
      </c>
      <c r="G19" s="364">
        <f t="shared" si="1"/>
        <v>0.31280000000000002</v>
      </c>
      <c r="H19" s="455">
        <f t="shared" si="2"/>
        <v>0.31280000000000002</v>
      </c>
    </row>
    <row r="20" spans="2:19" x14ac:dyDescent="0.3">
      <c r="B20" s="429"/>
      <c r="C20" s="459"/>
      <c r="D20" s="581"/>
      <c r="E20" s="431"/>
      <c r="F20" s="431"/>
      <c r="G20" s="561"/>
      <c r="H20" s="462"/>
    </row>
    <row r="21" spans="2:19" s="32" customFormat="1" ht="14.5" thickBot="1" x14ac:dyDescent="0.35">
      <c r="B21" s="631" t="s">
        <v>1106</v>
      </c>
      <c r="C21" s="632" t="s">
        <v>536</v>
      </c>
      <c r="D21" s="634">
        <f>'[3]Hartismere &amp; Hoxne'!$I$21</f>
        <v>65751</v>
      </c>
      <c r="E21" s="633">
        <f>'[2]Hartismere &amp; Hoxne'!$D$21</f>
        <v>9751</v>
      </c>
      <c r="F21" s="633">
        <f>D21-E21</f>
        <v>56000</v>
      </c>
      <c r="G21" s="619">
        <f t="shared" si="1"/>
        <v>0.14829999999999999</v>
      </c>
      <c r="H21" s="455">
        <f t="shared" si="2"/>
        <v>0.14829999999999999</v>
      </c>
      <c r="R21" s="32">
        <v>10000</v>
      </c>
    </row>
    <row r="22" spans="2:19" x14ac:dyDescent="0.3">
      <c r="B22" s="429"/>
      <c r="C22" s="459"/>
      <c r="D22" s="580"/>
      <c r="E22" s="431"/>
      <c r="F22" s="431"/>
      <c r="G22" s="561"/>
      <c r="H22" s="462"/>
    </row>
    <row r="23" spans="2:19" x14ac:dyDescent="0.3">
      <c r="B23" s="367" t="s">
        <v>1107</v>
      </c>
      <c r="C23" s="365" t="s">
        <v>304</v>
      </c>
      <c r="D23" s="434">
        <f>'[3]Hartismere &amp; Hoxne'!$I$23</f>
        <v>0</v>
      </c>
      <c r="E23" s="368">
        <f>'[2]Hartismere &amp; Hoxne'!$D23</f>
        <v>5600</v>
      </c>
      <c r="F23" s="368">
        <f t="shared" ref="F23:F30" si="3">D23-E23</f>
        <v>-5600</v>
      </c>
      <c r="G23" s="375"/>
      <c r="H23" s="462"/>
      <c r="N23" s="33" t="s">
        <v>1369</v>
      </c>
      <c r="O23" s="33" t="s">
        <v>1370</v>
      </c>
      <c r="P23" s="33" t="s">
        <v>1367</v>
      </c>
    </row>
    <row r="24" spans="2:19" x14ac:dyDescent="0.3">
      <c r="B24" s="367" t="s">
        <v>1108</v>
      </c>
      <c r="C24" s="365" t="s">
        <v>305</v>
      </c>
      <c r="D24" s="368">
        <v>0</v>
      </c>
      <c r="E24" s="368">
        <f>'[2]Hartismere &amp; Hoxne'!$D24</f>
        <v>4500</v>
      </c>
      <c r="F24" s="368">
        <f t="shared" si="3"/>
        <v>-4500</v>
      </c>
      <c r="G24" s="375"/>
      <c r="H24" s="462"/>
      <c r="N24" s="33" t="s">
        <v>1369</v>
      </c>
      <c r="O24" s="33" t="s">
        <v>1370</v>
      </c>
      <c r="P24" s="33" t="s">
        <v>1367</v>
      </c>
      <c r="S24" s="582"/>
    </row>
    <row r="25" spans="2:19" x14ac:dyDescent="0.3">
      <c r="B25" s="635" t="s">
        <v>1109</v>
      </c>
      <c r="C25" s="636" t="s">
        <v>306</v>
      </c>
      <c r="D25" s="637">
        <f>'[3]Hartismere &amp; Hoxne'!$I$25</f>
        <v>0</v>
      </c>
      <c r="E25" s="637">
        <f>'[2]Hartismere &amp; Hoxne'!$D25</f>
        <v>0</v>
      </c>
      <c r="F25" s="637">
        <f t="shared" si="3"/>
        <v>0</v>
      </c>
      <c r="G25" s="375"/>
      <c r="H25" s="462"/>
      <c r="N25" s="33" t="s">
        <v>1369</v>
      </c>
      <c r="O25" s="33" t="s">
        <v>1370</v>
      </c>
      <c r="P25" s="33" t="s">
        <v>1367</v>
      </c>
      <c r="S25" s="582"/>
    </row>
    <row r="26" spans="2:19" x14ac:dyDescent="0.3">
      <c r="B26" s="367" t="s">
        <v>1110</v>
      </c>
      <c r="C26" s="365" t="s">
        <v>307</v>
      </c>
      <c r="D26" s="368">
        <f>'[3]Hartismere &amp; Hoxne'!$I$26</f>
        <v>0</v>
      </c>
      <c r="E26" s="368">
        <f>'[2]Hartismere &amp; Hoxne'!$D26</f>
        <v>6400</v>
      </c>
      <c r="F26" s="368">
        <f t="shared" si="3"/>
        <v>-6400</v>
      </c>
      <c r="G26" s="375"/>
      <c r="H26" s="462"/>
      <c r="N26" s="33" t="s">
        <v>1369</v>
      </c>
      <c r="O26" s="33" t="s">
        <v>1370</v>
      </c>
      <c r="P26" s="33" t="s">
        <v>1367</v>
      </c>
    </row>
    <row r="27" spans="2:19" x14ac:dyDescent="0.3">
      <c r="B27" s="635" t="s">
        <v>1111</v>
      </c>
      <c r="C27" s="636" t="s">
        <v>308</v>
      </c>
      <c r="D27" s="637">
        <f>'[3]Hartismere &amp; Hoxne'!$I$27</f>
        <v>0</v>
      </c>
      <c r="E27" s="637">
        <f>'[2]Hartismere &amp; Hoxne'!$D27</f>
        <v>0</v>
      </c>
      <c r="F27" s="637">
        <f t="shared" si="3"/>
        <v>0</v>
      </c>
      <c r="G27" s="375"/>
      <c r="H27" s="462"/>
      <c r="N27" s="33" t="s">
        <v>1369</v>
      </c>
      <c r="O27" s="33" t="s">
        <v>1370</v>
      </c>
      <c r="P27" s="33" t="s">
        <v>1367</v>
      </c>
      <c r="R27" s="33">
        <v>1363</v>
      </c>
    </row>
    <row r="28" spans="2:19" x14ac:dyDescent="0.3">
      <c r="B28" s="635" t="s">
        <v>1112</v>
      </c>
      <c r="C28" s="636" t="s">
        <v>535</v>
      </c>
      <c r="D28" s="637">
        <f>'[3]Hartismere &amp; Hoxne'!$I$28</f>
        <v>0</v>
      </c>
      <c r="E28" s="637">
        <f>'[2]Hartismere &amp; Hoxne'!$D28</f>
        <v>0</v>
      </c>
      <c r="F28" s="637">
        <f t="shared" si="3"/>
        <v>0</v>
      </c>
      <c r="G28" s="375"/>
      <c r="H28" s="462"/>
      <c r="N28" s="33" t="s">
        <v>1369</v>
      </c>
      <c r="O28" s="33" t="s">
        <v>1366</v>
      </c>
    </row>
    <row r="29" spans="2:19" x14ac:dyDescent="0.3">
      <c r="B29" s="367" t="s">
        <v>1113</v>
      </c>
      <c r="C29" s="365" t="s">
        <v>309</v>
      </c>
      <c r="D29" s="368">
        <f>'[3]Hartismere &amp; Hoxne'!$I$29</f>
        <v>0</v>
      </c>
      <c r="E29" s="368">
        <f>'[2]Hartismere &amp; Hoxne'!$D29</f>
        <v>4000</v>
      </c>
      <c r="F29" s="368">
        <f t="shared" si="3"/>
        <v>-4000</v>
      </c>
      <c r="G29" s="375"/>
      <c r="H29" s="462"/>
      <c r="N29" s="33" t="s">
        <v>1369</v>
      </c>
      <c r="O29" s="33" t="s">
        <v>1366</v>
      </c>
      <c r="P29" s="33" t="s">
        <v>1368</v>
      </c>
    </row>
    <row r="30" spans="2:19" x14ac:dyDescent="0.3">
      <c r="B30" s="367" t="s">
        <v>1114</v>
      </c>
      <c r="C30" s="365" t="s">
        <v>310</v>
      </c>
      <c r="D30" s="368">
        <f>'[3]Hartismere &amp; Hoxne'!$I$30</f>
        <v>0</v>
      </c>
      <c r="E30" s="368">
        <f>'[2]Hartismere &amp; Hoxne'!$D30</f>
        <v>800</v>
      </c>
      <c r="F30" s="368">
        <f t="shared" si="3"/>
        <v>-800</v>
      </c>
      <c r="G30" s="375"/>
      <c r="H30" s="462"/>
      <c r="N30" s="33" t="s">
        <v>1369</v>
      </c>
      <c r="O30" s="33" t="s">
        <v>1370</v>
      </c>
      <c r="P30" s="33" t="s">
        <v>1367</v>
      </c>
      <c r="R30" s="33">
        <v>3135</v>
      </c>
    </row>
    <row r="31" spans="2:19" x14ac:dyDescent="0.3">
      <c r="B31" s="373"/>
      <c r="C31" s="365"/>
      <c r="D31" s="368"/>
      <c r="E31" s="402"/>
      <c r="F31" s="368"/>
      <c r="G31" s="375"/>
      <c r="H31" s="462"/>
    </row>
    <row r="32" spans="2:19" s="32" customFormat="1" ht="14.5" thickBot="1" x14ac:dyDescent="0.35">
      <c r="B32" s="583" t="s">
        <v>1115</v>
      </c>
      <c r="C32" s="584" t="s">
        <v>311</v>
      </c>
      <c r="D32" s="585">
        <v>61000</v>
      </c>
      <c r="E32" s="585">
        <f>SUM(E23:E31)</f>
        <v>21300</v>
      </c>
      <c r="F32" s="586">
        <f>D32-E32</f>
        <v>39700</v>
      </c>
      <c r="G32" s="587">
        <f>ROUND((E32/D32),4)</f>
        <v>0.34920000000000001</v>
      </c>
      <c r="H32" s="455">
        <f t="shared" si="2"/>
        <v>0.34920000000000001</v>
      </c>
      <c r="R32" s="32">
        <f>SUM(R21:R30)</f>
        <v>14498</v>
      </c>
    </row>
    <row r="33" spans="2:7" x14ac:dyDescent="0.3">
      <c r="B33" s="554"/>
      <c r="C33" s="523"/>
      <c r="D33" s="588"/>
      <c r="E33" s="589"/>
      <c r="F33" s="589"/>
      <c r="G33" s="590"/>
    </row>
    <row r="34" spans="2:7" x14ac:dyDescent="0.3">
      <c r="B34" s="367" t="s">
        <v>1116</v>
      </c>
      <c r="C34" s="365" t="s">
        <v>312</v>
      </c>
      <c r="D34" s="368">
        <f>'[3]Hartismere &amp; Hoxne'!$I$33</f>
        <v>526</v>
      </c>
      <c r="E34" s="368">
        <f>'[2]Hartismere &amp; Hoxne'!$D33</f>
        <v>250</v>
      </c>
      <c r="F34" s="368">
        <f t="shared" ref="F34:F42" si="4">D34-E34</f>
        <v>276</v>
      </c>
      <c r="G34" s="366">
        <f>ROUND((E34/D34),4)</f>
        <v>0.4753</v>
      </c>
    </row>
    <row r="35" spans="2:7" x14ac:dyDescent="0.3">
      <c r="B35" s="367" t="s">
        <v>1117</v>
      </c>
      <c r="C35" s="365" t="s">
        <v>313</v>
      </c>
      <c r="D35" s="368">
        <f>'[3]Hartismere &amp; Hoxne'!$I$34</f>
        <v>2106</v>
      </c>
      <c r="E35" s="368">
        <f>'[2]Hartismere &amp; Hoxne'!$D34</f>
        <v>1400</v>
      </c>
      <c r="F35" s="368">
        <f t="shared" si="4"/>
        <v>706</v>
      </c>
      <c r="G35" s="366">
        <f t="shared" ref="G35:G38" si="5">ROUND((E35/D35),4)</f>
        <v>0.66479999999999995</v>
      </c>
    </row>
    <row r="36" spans="2:7" x14ac:dyDescent="0.3">
      <c r="B36" s="367" t="s">
        <v>1118</v>
      </c>
      <c r="C36" s="365" t="s">
        <v>314</v>
      </c>
      <c r="D36" s="368">
        <f>'[3]Hartismere &amp; Hoxne'!$I$35</f>
        <v>3161</v>
      </c>
      <c r="E36" s="368">
        <f>'[2]Hartismere &amp; Hoxne'!$D35</f>
        <v>750</v>
      </c>
      <c r="F36" s="368">
        <f t="shared" si="4"/>
        <v>2411</v>
      </c>
      <c r="G36" s="366">
        <f t="shared" si="5"/>
        <v>0.23730000000000001</v>
      </c>
    </row>
    <row r="37" spans="2:7" x14ac:dyDescent="0.3">
      <c r="B37" s="367" t="s">
        <v>1119</v>
      </c>
      <c r="C37" s="365" t="s">
        <v>17</v>
      </c>
      <c r="D37" s="368">
        <f>'[3]Hartismere &amp; Hoxne'!$I$36</f>
        <v>9268</v>
      </c>
      <c r="E37" s="368">
        <f>'[2]Hartismere &amp; Hoxne'!$D36</f>
        <v>1250</v>
      </c>
      <c r="F37" s="368">
        <f t="shared" si="4"/>
        <v>8018</v>
      </c>
      <c r="G37" s="366">
        <f t="shared" si="5"/>
        <v>0.13489999999999999</v>
      </c>
    </row>
    <row r="38" spans="2:7" x14ac:dyDescent="0.3">
      <c r="B38" s="644" t="s">
        <v>1120</v>
      </c>
      <c r="C38" s="645" t="s">
        <v>315</v>
      </c>
      <c r="D38" s="642">
        <f>'[3]Hartismere &amp; Hoxne'!$I$37</f>
        <v>1055</v>
      </c>
      <c r="E38" s="642">
        <f>'[2]Hartismere &amp; Hoxne'!$D37</f>
        <v>1055</v>
      </c>
      <c r="F38" s="642">
        <f t="shared" si="4"/>
        <v>0</v>
      </c>
      <c r="G38" s="646">
        <f t="shared" si="5"/>
        <v>1</v>
      </c>
    </row>
    <row r="39" spans="2:7" x14ac:dyDescent="0.3">
      <c r="B39" s="644" t="s">
        <v>1121</v>
      </c>
      <c r="C39" s="645" t="s">
        <v>316</v>
      </c>
      <c r="D39" s="642">
        <f>'[3]Hartismere &amp; Hoxne'!$I$38</f>
        <v>2581</v>
      </c>
      <c r="E39" s="642">
        <f>'[2]Hartismere &amp; Hoxne'!$D38</f>
        <v>2581</v>
      </c>
      <c r="F39" s="642">
        <f t="shared" si="4"/>
        <v>0</v>
      </c>
      <c r="G39" s="646">
        <f>ROUND((E39/D39),4)</f>
        <v>1</v>
      </c>
    </row>
    <row r="40" spans="2:7" x14ac:dyDescent="0.3">
      <c r="B40" s="367" t="s">
        <v>1122</v>
      </c>
      <c r="C40" s="365" t="s">
        <v>317</v>
      </c>
      <c r="D40" s="368">
        <f>'[3]Hartismere &amp; Hoxne'!$I$39</f>
        <v>3422</v>
      </c>
      <c r="E40" s="368">
        <f>'[2]Hartismere &amp; Hoxne'!$D39</f>
        <v>1412</v>
      </c>
      <c r="F40" s="368">
        <f t="shared" si="4"/>
        <v>2010</v>
      </c>
      <c r="G40" s="366">
        <f>ROUND((E40/D40),4)</f>
        <v>0.41260000000000002</v>
      </c>
    </row>
    <row r="41" spans="2:7" x14ac:dyDescent="0.3">
      <c r="B41" s="373"/>
      <c r="C41" s="384" t="s">
        <v>532</v>
      </c>
      <c r="D41" s="369"/>
      <c r="E41" s="369"/>
      <c r="F41" s="369"/>
      <c r="G41" s="366"/>
    </row>
    <row r="42" spans="2:7" ht="28.5" thickBot="1" x14ac:dyDescent="0.35">
      <c r="B42" s="576" t="s">
        <v>1123</v>
      </c>
      <c r="C42" s="577" t="s">
        <v>318</v>
      </c>
      <c r="D42" s="579">
        <f>SUM(D34:D41)</f>
        <v>22119</v>
      </c>
      <c r="E42" s="579">
        <f>SUM(E34:E41)</f>
        <v>8698</v>
      </c>
      <c r="F42" s="579">
        <f t="shared" si="4"/>
        <v>13421</v>
      </c>
      <c r="G42" s="403">
        <f>ROUND((E42/D42),4)</f>
        <v>0.39319999999999999</v>
      </c>
    </row>
    <row r="43" spans="2:7" x14ac:dyDescent="0.3">
      <c r="B43" s="429"/>
      <c r="C43" s="459"/>
      <c r="D43" s="431"/>
      <c r="E43" s="431"/>
      <c r="F43" s="431"/>
      <c r="G43" s="461"/>
    </row>
    <row r="44" spans="2:7" x14ac:dyDescent="0.3">
      <c r="B44" s="367" t="s">
        <v>1124</v>
      </c>
      <c r="C44" s="365" t="s">
        <v>319</v>
      </c>
      <c r="D44" s="368">
        <f>'[3]Hartismere &amp; Hoxne'!$I$43</f>
        <v>0</v>
      </c>
      <c r="E44" s="402">
        <f>'[2]Hartismere &amp; Hoxne'!$D43</f>
        <v>5500</v>
      </c>
      <c r="F44" s="368">
        <f t="shared" ref="F44:F51" si="6">D44-E44</f>
        <v>-5500</v>
      </c>
      <c r="G44" s="366"/>
    </row>
    <row r="45" spans="2:7" x14ac:dyDescent="0.3">
      <c r="B45" s="367" t="s">
        <v>1125</v>
      </c>
      <c r="C45" s="365" t="s">
        <v>320</v>
      </c>
      <c r="D45" s="368">
        <f>'[3]Hartismere &amp; Hoxne'!$I$44</f>
        <v>0</v>
      </c>
      <c r="E45" s="402">
        <f>'[2]Hartismere &amp; Hoxne'!$D44</f>
        <v>2500</v>
      </c>
      <c r="F45" s="368">
        <f t="shared" si="6"/>
        <v>-2500</v>
      </c>
      <c r="G45" s="366"/>
    </row>
    <row r="46" spans="2:7" x14ac:dyDescent="0.3">
      <c r="B46" s="367" t="s">
        <v>1126</v>
      </c>
      <c r="C46" s="365" t="s">
        <v>321</v>
      </c>
      <c r="D46" s="368">
        <f>'[3]Hartismere &amp; Hoxne'!$I$45</f>
        <v>0</v>
      </c>
      <c r="E46" s="402">
        <f>'[2]Hartismere &amp; Hoxne'!$D45</f>
        <v>4837</v>
      </c>
      <c r="F46" s="368">
        <f t="shared" si="6"/>
        <v>-4837</v>
      </c>
      <c r="G46" s="366"/>
    </row>
    <row r="47" spans="2:7" x14ac:dyDescent="0.3">
      <c r="B47" s="367" t="s">
        <v>1127</v>
      </c>
      <c r="C47" s="365" t="s">
        <v>322</v>
      </c>
      <c r="D47" s="368">
        <f>'[3]Hartismere &amp; Hoxne'!$I$46</f>
        <v>0</v>
      </c>
      <c r="E47" s="402">
        <f>'[2]Hartismere &amp; Hoxne'!$D46</f>
        <v>6000</v>
      </c>
      <c r="F47" s="368">
        <f t="shared" si="6"/>
        <v>-6000</v>
      </c>
      <c r="G47" s="366"/>
    </row>
    <row r="48" spans="2:7" x14ac:dyDescent="0.3">
      <c r="B48" s="367" t="s">
        <v>1128</v>
      </c>
      <c r="C48" s="365" t="s">
        <v>323</v>
      </c>
      <c r="D48" s="368">
        <f>'[3]Hartismere &amp; Hoxne'!$I$47</f>
        <v>0</v>
      </c>
      <c r="E48" s="402">
        <f>'[2]Hartismere &amp; Hoxne'!$D47</f>
        <v>2700</v>
      </c>
      <c r="F48" s="368">
        <f t="shared" si="6"/>
        <v>-2700</v>
      </c>
      <c r="G48" s="366"/>
    </row>
    <row r="49" spans="2:7" x14ac:dyDescent="0.3">
      <c r="B49" s="635" t="s">
        <v>1129</v>
      </c>
      <c r="C49" s="636" t="s">
        <v>324</v>
      </c>
      <c r="D49" s="637">
        <v>0</v>
      </c>
      <c r="E49" s="649">
        <f>'[2]Hartismere &amp; Hoxne'!$D48</f>
        <v>0</v>
      </c>
      <c r="F49" s="637">
        <f t="shared" si="6"/>
        <v>0</v>
      </c>
      <c r="G49" s="366"/>
    </row>
    <row r="50" spans="2:7" x14ac:dyDescent="0.3">
      <c r="B50" s="367" t="s">
        <v>1130</v>
      </c>
      <c r="C50" s="365" t="s">
        <v>325</v>
      </c>
      <c r="D50" s="368">
        <f>'[3]Hartismere &amp; Hoxne'!$I$49</f>
        <v>0</v>
      </c>
      <c r="E50" s="402">
        <f>'[2]Hartismere &amp; Hoxne'!$D49</f>
        <v>3803</v>
      </c>
      <c r="F50" s="368">
        <f t="shared" si="6"/>
        <v>-3803</v>
      </c>
      <c r="G50" s="366"/>
    </row>
    <row r="51" spans="2:7" x14ac:dyDescent="0.3">
      <c r="B51" s="367" t="s">
        <v>1339</v>
      </c>
      <c r="C51" s="365" t="s">
        <v>326</v>
      </c>
      <c r="D51" s="368">
        <f>'[3]Hartismere &amp; Hoxne'!$I$50</f>
        <v>0</v>
      </c>
      <c r="E51" s="402">
        <f>'[2]Hartismere &amp; Hoxne'!$D50</f>
        <v>1500</v>
      </c>
      <c r="F51" s="368">
        <f t="shared" si="6"/>
        <v>-1500</v>
      </c>
      <c r="G51" s="366"/>
    </row>
    <row r="52" spans="2:7" x14ac:dyDescent="0.3">
      <c r="B52" s="367"/>
      <c r="C52" s="365"/>
      <c r="D52" s="368"/>
      <c r="E52" s="368"/>
      <c r="F52" s="368"/>
      <c r="G52" s="366"/>
    </row>
    <row r="53" spans="2:7" ht="14.5" thickBot="1" x14ac:dyDescent="0.35">
      <c r="B53" s="301" t="s">
        <v>1131</v>
      </c>
      <c r="C53" s="302" t="s">
        <v>327</v>
      </c>
      <c r="D53" s="363">
        <v>68099</v>
      </c>
      <c r="E53" s="363">
        <f>SUM(E44:E51)</f>
        <v>26840</v>
      </c>
      <c r="F53" s="363">
        <f t="shared" ref="F53" si="7">D53-E53</f>
        <v>41259</v>
      </c>
      <c r="G53" s="403">
        <f t="shared" ref="G53" si="8">ROUND((E53/D53),4)</f>
        <v>0.39410000000000001</v>
      </c>
    </row>
    <row r="54" spans="2:7" x14ac:dyDescent="0.3">
      <c r="B54" s="429"/>
      <c r="C54" s="459"/>
      <c r="D54" s="431"/>
      <c r="E54" s="431"/>
      <c r="F54" s="431"/>
      <c r="G54" s="461"/>
    </row>
    <row r="55" spans="2:7" x14ac:dyDescent="0.3">
      <c r="B55" s="367" t="s">
        <v>1132</v>
      </c>
      <c r="C55" s="365" t="s">
        <v>328</v>
      </c>
      <c r="D55" s="368">
        <f>'[3]Hartismere &amp; Hoxne'!$I$53</f>
        <v>24800</v>
      </c>
      <c r="E55" s="402">
        <f>'[2]Hartismere &amp; Hoxne'!$D53</f>
        <v>10000</v>
      </c>
      <c r="F55" s="368">
        <f t="shared" ref="F55:F60" si="9">D55-E55</f>
        <v>14800</v>
      </c>
      <c r="G55" s="366">
        <f>ROUND((E55/D55),4)</f>
        <v>0.4032</v>
      </c>
    </row>
    <row r="56" spans="2:7" x14ac:dyDescent="0.3">
      <c r="B56" s="367" t="s">
        <v>1133</v>
      </c>
      <c r="C56" s="365" t="s">
        <v>329</v>
      </c>
      <c r="D56" s="368">
        <f>'[3]Hartismere &amp; Hoxne'!$I$54</f>
        <v>11020</v>
      </c>
      <c r="E56" s="402">
        <f>'[2]Hartismere &amp; Hoxne'!$D54</f>
        <v>6020</v>
      </c>
      <c r="F56" s="368">
        <f t="shared" si="9"/>
        <v>5000</v>
      </c>
      <c r="G56" s="366">
        <f t="shared" ref="G56:G60" si="10">ROUND((E56/D56),4)</f>
        <v>0.54630000000000001</v>
      </c>
    </row>
    <row r="57" spans="2:7" x14ac:dyDescent="0.3">
      <c r="B57" s="367" t="s">
        <v>1134</v>
      </c>
      <c r="C57" s="365" t="s">
        <v>330</v>
      </c>
      <c r="D57" s="368">
        <f>'[3]Hartismere &amp; Hoxne'!$I$55</f>
        <v>11020</v>
      </c>
      <c r="E57" s="402">
        <f>'[2]Hartismere &amp; Hoxne'!$D55</f>
        <v>4000</v>
      </c>
      <c r="F57" s="368">
        <f t="shared" si="9"/>
        <v>7020</v>
      </c>
      <c r="G57" s="366">
        <f t="shared" si="10"/>
        <v>0.36299999999999999</v>
      </c>
    </row>
    <row r="58" spans="2:7" x14ac:dyDescent="0.3">
      <c r="B58" s="367" t="s">
        <v>1135</v>
      </c>
      <c r="C58" s="365" t="s">
        <v>331</v>
      </c>
      <c r="D58" s="368">
        <f>'[3]Hartismere &amp; Hoxne'!$I$56</f>
        <v>11020</v>
      </c>
      <c r="E58" s="402">
        <f>'[2]Hartismere &amp; Hoxne'!$D56</f>
        <v>4000</v>
      </c>
      <c r="F58" s="368">
        <f t="shared" si="9"/>
        <v>7020</v>
      </c>
      <c r="G58" s="366">
        <f t="shared" si="10"/>
        <v>0.36299999999999999</v>
      </c>
    </row>
    <row r="59" spans="2:7" x14ac:dyDescent="0.3">
      <c r="B59" s="367" t="s">
        <v>1136</v>
      </c>
      <c r="C59" s="365" t="s">
        <v>332</v>
      </c>
      <c r="D59" s="368">
        <f>'[3]Hartismere &amp; Hoxne'!$I$57</f>
        <v>5510</v>
      </c>
      <c r="E59" s="402">
        <f>'[2]Hartismere &amp; Hoxne'!$D57</f>
        <v>2760</v>
      </c>
      <c r="F59" s="368">
        <f t="shared" si="9"/>
        <v>2750</v>
      </c>
      <c r="G59" s="366">
        <f t="shared" si="10"/>
        <v>0.50090000000000001</v>
      </c>
    </row>
    <row r="60" spans="2:7" x14ac:dyDescent="0.3">
      <c r="B60" s="367" t="s">
        <v>1137</v>
      </c>
      <c r="C60" s="365" t="s">
        <v>333</v>
      </c>
      <c r="D60" s="368">
        <f>'[3]Hartismere &amp; Hoxne'!$I$58</f>
        <v>5510</v>
      </c>
      <c r="E60" s="402">
        <f>'[2]Hartismere &amp; Hoxne'!$D58</f>
        <v>3444</v>
      </c>
      <c r="F60" s="368">
        <f t="shared" si="9"/>
        <v>2066</v>
      </c>
      <c r="G60" s="366">
        <f t="shared" si="10"/>
        <v>0.625</v>
      </c>
    </row>
    <row r="61" spans="2:7" x14ac:dyDescent="0.3">
      <c r="B61" s="367"/>
      <c r="C61" s="365" t="s">
        <v>1617</v>
      </c>
      <c r="D61" s="368">
        <f>'[3]Hartismere &amp; Hoxne'!$I$59</f>
        <v>0</v>
      </c>
      <c r="E61" s="402"/>
      <c r="F61" s="368">
        <f>D61-E61</f>
        <v>0</v>
      </c>
      <c r="G61" s="366"/>
    </row>
    <row r="62" spans="2:7" ht="14.5" thickBot="1" x14ac:dyDescent="0.35">
      <c r="B62" s="442" t="s">
        <v>1138</v>
      </c>
      <c r="C62" s="468" t="s">
        <v>334</v>
      </c>
      <c r="D62" s="370">
        <f>SUM(D55:D61)</f>
        <v>68880</v>
      </c>
      <c r="E62" s="370">
        <f>SUM(E55:E60)</f>
        <v>30224</v>
      </c>
      <c r="F62" s="370">
        <f>D62-E62</f>
        <v>38656</v>
      </c>
      <c r="G62" s="475">
        <f>ROUND((E62/D62),4)</f>
        <v>0.43880000000000002</v>
      </c>
    </row>
    <row r="63" spans="2:7" x14ac:dyDescent="0.3">
      <c r="B63" s="422"/>
      <c r="C63" s="471"/>
      <c r="D63" s="591"/>
      <c r="E63" s="447"/>
      <c r="F63" s="447"/>
      <c r="G63" s="592"/>
    </row>
    <row r="64" spans="2:7" s="32" customFormat="1" ht="14.5" thickBot="1" x14ac:dyDescent="0.35">
      <c r="B64" s="555"/>
      <c r="C64" s="468" t="s">
        <v>57</v>
      </c>
      <c r="D64" s="370">
        <f>SUM(D11,D21,D19,D32,D42,D53,D62)</f>
        <v>414130</v>
      </c>
      <c r="E64" s="593">
        <f>SUM(E11,E21,E19,E32,E42,E53,E62)</f>
        <v>148299</v>
      </c>
      <c r="F64" s="370">
        <f>D64-E64</f>
        <v>265831</v>
      </c>
      <c r="G64" s="444">
        <f t="shared" si="1"/>
        <v>0.35809999999999997</v>
      </c>
    </row>
    <row r="65" spans="2:7" x14ac:dyDescent="0.3">
      <c r="B65" s="554"/>
      <c r="C65" s="471"/>
      <c r="D65" s="594"/>
      <c r="E65" s="589"/>
      <c r="F65" s="447"/>
      <c r="G65" s="592"/>
    </row>
    <row r="66" spans="2:7" ht="14.5" thickBot="1" x14ac:dyDescent="0.35">
      <c r="B66" s="555"/>
      <c r="C66" s="468" t="s">
        <v>1657</v>
      </c>
      <c r="D66" s="370">
        <f>[5]Summary!$D$19</f>
        <v>402313</v>
      </c>
      <c r="E66" s="593">
        <f>'[6]Hartismere &amp; Hoxne'!$D$62</f>
        <v>161551</v>
      </c>
      <c r="F66" s="370">
        <f>D66-E66</f>
        <v>240762</v>
      </c>
      <c r="G66" s="444">
        <f>E66/D66</f>
        <v>0.40155550529065676</v>
      </c>
    </row>
    <row r="67" spans="2:7" x14ac:dyDescent="0.3">
      <c r="D67" s="572"/>
      <c r="E67" s="572"/>
      <c r="F67" s="572"/>
    </row>
    <row r="68" spans="2:7" x14ac:dyDescent="0.3">
      <c r="D68" s="572"/>
      <c r="E68" s="572"/>
      <c r="F68" s="572"/>
    </row>
    <row r="69" spans="2:7" x14ac:dyDescent="0.3">
      <c r="D69" s="572"/>
      <c r="E69" s="572"/>
      <c r="F69" s="572"/>
    </row>
    <row r="70" spans="2:7" x14ac:dyDescent="0.3">
      <c r="D70" s="572"/>
      <c r="E70" s="572"/>
      <c r="F70" s="572"/>
    </row>
    <row r="71" spans="2:7" x14ac:dyDescent="0.3">
      <c r="D71" s="572"/>
      <c r="E71" s="572"/>
      <c r="F71" s="572"/>
    </row>
    <row r="72" spans="2:7" x14ac:dyDescent="0.3">
      <c r="D72" s="572"/>
      <c r="E72" s="572"/>
      <c r="F72" s="572"/>
    </row>
    <row r="73" spans="2:7" x14ac:dyDescent="0.3">
      <c r="D73" s="572"/>
      <c r="E73" s="572"/>
      <c r="F73" s="572"/>
    </row>
    <row r="74" spans="2:7" x14ac:dyDescent="0.3">
      <c r="D74" s="572"/>
      <c r="E74" s="572"/>
      <c r="F74" s="572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&amp;L&amp;D&amp;R&amp;Z&amp;F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P59"/>
  <sheetViews>
    <sheetView topLeftCell="A44" zoomScaleNormal="100" workbookViewId="0">
      <selection activeCell="B48" sqref="B48:G48"/>
    </sheetView>
  </sheetViews>
  <sheetFormatPr defaultColWidth="8.58203125" defaultRowHeight="14" x14ac:dyDescent="0.3"/>
  <cols>
    <col min="1" max="1" width="9" style="33" customWidth="1"/>
    <col min="2" max="2" width="12.5" style="33" customWidth="1"/>
    <col min="3" max="3" width="46" style="33" bestFit="1" customWidth="1"/>
    <col min="4" max="6" width="12" style="33" bestFit="1" customWidth="1"/>
    <col min="7" max="7" width="12.5" style="214" bestFit="1" customWidth="1"/>
    <col min="8" max="8" width="16.33203125" style="33" hidden="1" customWidth="1"/>
    <col min="9" max="10" width="9" style="33" hidden="1" customWidth="1"/>
    <col min="11" max="11" width="19" style="33" hidden="1" customWidth="1"/>
    <col min="12" max="12" width="9" style="33" hidden="1" customWidth="1"/>
    <col min="13" max="13" width="2.58203125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7" width="9" style="33" customWidth="1"/>
    <col min="18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COUNTIF(H8:H59,"&gt;1")</f>
        <v>0</v>
      </c>
    </row>
    <row r="4" spans="2:16" s="32" customFormat="1" ht="23" thickBot="1" x14ac:dyDescent="0.5">
      <c r="B4" s="413"/>
      <c r="C4" s="406" t="s">
        <v>353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COUNTIF(H8:H59,1)</f>
        <v>0</v>
      </c>
    </row>
    <row r="5" spans="2:16" ht="14.25" customHeight="1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3</v>
      </c>
    </row>
    <row r="6" spans="2:16" s="32" customFormat="1" ht="14.5" thickBot="1" x14ac:dyDescent="0.35">
      <c r="B6" s="418" t="s">
        <v>592</v>
      </c>
      <c r="C6" s="419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3</v>
      </c>
      <c r="N6" s="32" t="s">
        <v>1362</v>
      </c>
      <c r="O6" s="32" t="s">
        <v>1363</v>
      </c>
      <c r="P6" s="32" t="s">
        <v>1364</v>
      </c>
    </row>
    <row r="7" spans="2:16" ht="14.25" customHeight="1" x14ac:dyDescent="0.3">
      <c r="B7" s="422"/>
      <c r="C7" s="424"/>
      <c r="D7" s="424"/>
      <c r="E7" s="424"/>
      <c r="F7" s="424"/>
      <c r="G7" s="454"/>
      <c r="K7" s="33" t="s">
        <v>547</v>
      </c>
      <c r="L7" s="33">
        <v>0</v>
      </c>
    </row>
    <row r="8" spans="2:16" x14ac:dyDescent="0.3">
      <c r="B8" s="367" t="s">
        <v>1158</v>
      </c>
      <c r="C8" s="365" t="s">
        <v>362</v>
      </c>
      <c r="D8" s="368">
        <f>[3]Loes!$I$8</f>
        <v>61901</v>
      </c>
      <c r="E8" s="368">
        <f>[2]Loes!$D$8</f>
        <v>27000</v>
      </c>
      <c r="F8" s="368">
        <f t="shared" ref="F8:F9" si="0">D8-E8</f>
        <v>34901</v>
      </c>
      <c r="G8" s="366">
        <f t="shared" ref="G8:G9" si="1">ROUND((E8/D8),4)</f>
        <v>0.43619999999999998</v>
      </c>
      <c r="H8" s="455"/>
      <c r="L8" s="33">
        <f>SUM(L3:L7)</f>
        <v>6</v>
      </c>
      <c r="N8" s="33" t="s">
        <v>1365</v>
      </c>
      <c r="O8" s="33" t="s">
        <v>1366</v>
      </c>
    </row>
    <row r="9" spans="2:16" x14ac:dyDescent="0.3">
      <c r="B9" s="367" t="s">
        <v>1159</v>
      </c>
      <c r="C9" s="365" t="s">
        <v>363</v>
      </c>
      <c r="D9" s="368">
        <f>[3]Loes!$I$9</f>
        <v>6878</v>
      </c>
      <c r="E9" s="368">
        <f>[2]Loes!$D$9</f>
        <v>4648</v>
      </c>
      <c r="F9" s="368">
        <f t="shared" si="0"/>
        <v>2230</v>
      </c>
      <c r="G9" s="366">
        <f t="shared" si="1"/>
        <v>0.67579999999999996</v>
      </c>
      <c r="H9" s="455"/>
      <c r="N9" s="33" t="s">
        <v>1369</v>
      </c>
      <c r="O9" s="33" t="s">
        <v>1370</v>
      </c>
      <c r="P9" s="33" t="s">
        <v>1367</v>
      </c>
    </row>
    <row r="10" spans="2:16" s="32" customFormat="1" ht="14.5" thickBot="1" x14ac:dyDescent="0.35">
      <c r="B10" s="301" t="s">
        <v>1160</v>
      </c>
      <c r="C10" s="302" t="s">
        <v>364</v>
      </c>
      <c r="D10" s="363">
        <f>SUM(D8:D9)</f>
        <v>68779</v>
      </c>
      <c r="E10" s="363">
        <f>SUM(E8:E9)</f>
        <v>31648</v>
      </c>
      <c r="F10" s="363">
        <f t="shared" ref="F10:F55" si="2">D10-E10</f>
        <v>37131</v>
      </c>
      <c r="G10" s="403">
        <f>ROUND((E10/D10),4)</f>
        <v>0.46010000000000001</v>
      </c>
      <c r="H10" s="455">
        <f t="shared" ref="H10" si="3">G10</f>
        <v>0.46010000000000001</v>
      </c>
      <c r="K10" s="33"/>
      <c r="L10" s="33"/>
    </row>
    <row r="11" spans="2:16" ht="14.25" customHeight="1" x14ac:dyDescent="0.3">
      <c r="B11" s="373"/>
      <c r="C11" s="384"/>
      <c r="D11" s="369"/>
      <c r="E11" s="369"/>
      <c r="F11" s="369"/>
      <c r="G11" s="456"/>
      <c r="H11" s="455"/>
    </row>
    <row r="12" spans="2:16" x14ac:dyDescent="0.3">
      <c r="B12" s="367" t="s">
        <v>1161</v>
      </c>
      <c r="C12" s="365" t="s">
        <v>354</v>
      </c>
      <c r="D12" s="368">
        <f>[3]Loes!$I$12</f>
        <v>10000</v>
      </c>
      <c r="E12" s="368">
        <f>[2]Loes!$D12</f>
        <v>3500</v>
      </c>
      <c r="F12" s="368">
        <f t="shared" si="2"/>
        <v>6500</v>
      </c>
      <c r="G12" s="366">
        <f t="shared" ref="G12:G55" si="4">ROUND((E12/D12),4)</f>
        <v>0.35</v>
      </c>
      <c r="H12" s="455"/>
      <c r="N12" s="33" t="s">
        <v>1369</v>
      </c>
      <c r="O12" s="33" t="s">
        <v>1370</v>
      </c>
      <c r="P12" s="33" t="s">
        <v>1367</v>
      </c>
    </row>
    <row r="13" spans="2:16" x14ac:dyDescent="0.3">
      <c r="B13" s="635" t="s">
        <v>1162</v>
      </c>
      <c r="C13" s="636" t="s">
        <v>355</v>
      </c>
      <c r="D13" s="637">
        <f>[3]Loes!$I$13</f>
        <v>6000</v>
      </c>
      <c r="E13" s="637">
        <f>[2]Loes!$D13</f>
        <v>0</v>
      </c>
      <c r="F13" s="637">
        <f t="shared" si="2"/>
        <v>6000</v>
      </c>
      <c r="G13" s="638">
        <f t="shared" si="4"/>
        <v>0</v>
      </c>
      <c r="H13" s="455"/>
      <c r="N13" s="33" t="s">
        <v>1369</v>
      </c>
      <c r="O13" s="33" t="s">
        <v>1370</v>
      </c>
      <c r="P13" s="33" t="s">
        <v>1367</v>
      </c>
    </row>
    <row r="14" spans="2:16" x14ac:dyDescent="0.3">
      <c r="B14" s="367" t="s">
        <v>1163</v>
      </c>
      <c r="C14" s="365" t="s">
        <v>356</v>
      </c>
      <c r="D14" s="368">
        <f>[3]Loes!$I$14</f>
        <v>9500</v>
      </c>
      <c r="E14" s="368">
        <f>[2]Loes!$D14</f>
        <v>5544</v>
      </c>
      <c r="F14" s="368">
        <f t="shared" si="2"/>
        <v>3956</v>
      </c>
      <c r="G14" s="366">
        <f t="shared" si="4"/>
        <v>0.58360000000000001</v>
      </c>
      <c r="H14" s="455"/>
      <c r="N14" s="33" t="s">
        <v>1365</v>
      </c>
      <c r="O14" s="33" t="s">
        <v>1366</v>
      </c>
      <c r="P14" s="33" t="s">
        <v>1367</v>
      </c>
    </row>
    <row r="15" spans="2:16" x14ac:dyDescent="0.3">
      <c r="B15" s="635" t="s">
        <v>1164</v>
      </c>
      <c r="C15" s="636" t="s">
        <v>357</v>
      </c>
      <c r="D15" s="637">
        <f>[3]Loes!$I$15</f>
        <v>7218</v>
      </c>
      <c r="E15" s="637">
        <f>[2]Loes!$D15</f>
        <v>0</v>
      </c>
      <c r="F15" s="637">
        <f t="shared" si="2"/>
        <v>7218</v>
      </c>
      <c r="G15" s="638">
        <f t="shared" si="4"/>
        <v>0</v>
      </c>
      <c r="H15" s="455"/>
      <c r="N15" s="33" t="s">
        <v>1365</v>
      </c>
      <c r="O15" s="33" t="s">
        <v>1366</v>
      </c>
      <c r="P15" s="33" t="s">
        <v>1368</v>
      </c>
    </row>
    <row r="16" spans="2:16" x14ac:dyDescent="0.3">
      <c r="B16" s="367" t="s">
        <v>965</v>
      </c>
      <c r="C16" s="365" t="s">
        <v>358</v>
      </c>
      <c r="D16" s="368">
        <f>[3]Loes!$I$16</f>
        <v>9514</v>
      </c>
      <c r="E16" s="368">
        <f>[2]Loes!$D16</f>
        <v>3000</v>
      </c>
      <c r="F16" s="368">
        <f t="shared" si="2"/>
        <v>6514</v>
      </c>
      <c r="G16" s="366">
        <f t="shared" si="4"/>
        <v>0.31530000000000002</v>
      </c>
      <c r="H16" s="455"/>
    </row>
    <row r="17" spans="2:16" x14ac:dyDescent="0.3">
      <c r="B17" s="367" t="s">
        <v>1165</v>
      </c>
      <c r="C17" s="365" t="s">
        <v>359</v>
      </c>
      <c r="D17" s="368">
        <f>[3]Loes!$I$17</f>
        <v>9000</v>
      </c>
      <c r="E17" s="368">
        <f>[2]Loes!$D17</f>
        <v>6000</v>
      </c>
      <c r="F17" s="368">
        <f t="shared" si="2"/>
        <v>3000</v>
      </c>
      <c r="G17" s="366">
        <f t="shared" si="4"/>
        <v>0.66669999999999996</v>
      </c>
      <c r="H17" s="455"/>
      <c r="N17" s="33" t="s">
        <v>1372</v>
      </c>
      <c r="O17" s="33" t="s">
        <v>1370</v>
      </c>
      <c r="P17" s="33" t="s">
        <v>1367</v>
      </c>
    </row>
    <row r="18" spans="2:16" x14ac:dyDescent="0.3">
      <c r="B18" s="367" t="s">
        <v>1166</v>
      </c>
      <c r="C18" s="365" t="s">
        <v>360</v>
      </c>
      <c r="D18" s="368">
        <f>[3]Loes!$I$18</f>
        <v>6000</v>
      </c>
      <c r="E18" s="368">
        <f>[2]Loes!$D18</f>
        <v>4000</v>
      </c>
      <c r="F18" s="368">
        <f t="shared" si="2"/>
        <v>2000</v>
      </c>
      <c r="G18" s="366">
        <f t="shared" si="4"/>
        <v>0.66669999999999996</v>
      </c>
      <c r="H18" s="455"/>
      <c r="N18" s="33" t="s">
        <v>1365</v>
      </c>
      <c r="O18" s="33" t="s">
        <v>1366</v>
      </c>
    </row>
    <row r="19" spans="2:16" x14ac:dyDescent="0.3">
      <c r="B19" s="367"/>
      <c r="C19" s="365" t="s">
        <v>1380</v>
      </c>
      <c r="D19" s="368">
        <f>[3]Loes!$I$20</f>
        <v>11587</v>
      </c>
      <c r="E19" s="368">
        <f>[2]Loes!$D19</f>
        <v>0</v>
      </c>
      <c r="F19" s="368">
        <f t="shared" si="2"/>
        <v>11587</v>
      </c>
      <c r="G19" s="366">
        <f t="shared" si="4"/>
        <v>0</v>
      </c>
      <c r="H19" s="455"/>
    </row>
    <row r="20" spans="2:16" x14ac:dyDescent="0.3">
      <c r="B20" s="554"/>
      <c r="C20" s="523" t="s">
        <v>606</v>
      </c>
      <c r="D20" s="369">
        <v>0</v>
      </c>
      <c r="E20" s="368">
        <f>[2]Loes!$D20</f>
        <v>0</v>
      </c>
      <c r="F20" s="589">
        <f>D20</f>
        <v>0</v>
      </c>
      <c r="G20" s="366"/>
      <c r="H20" s="455"/>
    </row>
    <row r="21" spans="2:16" s="32" customFormat="1" ht="14.5" thickBot="1" x14ac:dyDescent="0.35">
      <c r="B21" s="301" t="s">
        <v>1167</v>
      </c>
      <c r="C21" s="302" t="s">
        <v>361</v>
      </c>
      <c r="D21" s="363">
        <f>SUM(D12:D20)</f>
        <v>68819</v>
      </c>
      <c r="E21" s="363">
        <f t="shared" ref="E21:F21" si="5">SUM(E12:E20)</f>
        <v>22044</v>
      </c>
      <c r="F21" s="363">
        <f t="shared" si="5"/>
        <v>46775</v>
      </c>
      <c r="G21" s="403">
        <f t="shared" si="4"/>
        <v>0.32029999999999997</v>
      </c>
      <c r="H21" s="455">
        <f t="shared" ref="H21:H53" si="6">G21</f>
        <v>0.32029999999999997</v>
      </c>
    </row>
    <row r="22" spans="2:16" ht="14.25" customHeight="1" x14ac:dyDescent="0.3">
      <c r="B22" s="367"/>
      <c r="C22" s="365"/>
      <c r="D22" s="368"/>
      <c r="E22" s="368"/>
      <c r="F22" s="368"/>
      <c r="G22" s="366"/>
      <c r="H22" s="455"/>
    </row>
    <row r="23" spans="2:16" x14ac:dyDescent="0.3">
      <c r="B23" s="635" t="s">
        <v>1168</v>
      </c>
      <c r="C23" s="636" t="s">
        <v>365</v>
      </c>
      <c r="D23" s="637">
        <f>[3]Loes!$I$23</f>
        <v>0</v>
      </c>
      <c r="E23" s="637">
        <f>[2]Loes!$D23</f>
        <v>0</v>
      </c>
      <c r="F23" s="637">
        <f t="shared" si="2"/>
        <v>0</v>
      </c>
      <c r="G23" s="366"/>
      <c r="H23" s="455"/>
      <c r="N23" s="33" t="s">
        <v>1365</v>
      </c>
      <c r="O23" s="33" t="s">
        <v>1366</v>
      </c>
    </row>
    <row r="24" spans="2:16" x14ac:dyDescent="0.3">
      <c r="B24" s="367" t="s">
        <v>1169</v>
      </c>
      <c r="C24" s="365" t="s">
        <v>366</v>
      </c>
      <c r="D24" s="368">
        <v>0</v>
      </c>
      <c r="E24" s="368">
        <f>[2]Loes!$D24</f>
        <v>23200</v>
      </c>
      <c r="F24" s="368">
        <f t="shared" si="2"/>
        <v>-23200</v>
      </c>
      <c r="G24" s="366"/>
      <c r="H24" s="455"/>
      <c r="N24" s="33" t="s">
        <v>1369</v>
      </c>
      <c r="O24" s="33" t="s">
        <v>1370</v>
      </c>
      <c r="P24" s="33" t="s">
        <v>1367</v>
      </c>
    </row>
    <row r="25" spans="2:16" x14ac:dyDescent="0.3">
      <c r="B25" s="367" t="s">
        <v>1194</v>
      </c>
      <c r="C25" s="365" t="s">
        <v>367</v>
      </c>
      <c r="D25" s="368">
        <f>[3]Loes!$I$25</f>
        <v>0</v>
      </c>
      <c r="E25" s="368">
        <f>[2]Loes!$D25</f>
        <v>500</v>
      </c>
      <c r="F25" s="368">
        <f t="shared" si="2"/>
        <v>-500</v>
      </c>
      <c r="G25" s="366"/>
      <c r="H25" s="455"/>
    </row>
    <row r="26" spans="2:16" x14ac:dyDescent="0.3">
      <c r="B26" s="367" t="s">
        <v>1170</v>
      </c>
      <c r="C26" s="365" t="s">
        <v>368</v>
      </c>
      <c r="D26" s="368">
        <f>[3]Loes!$I$26</f>
        <v>0</v>
      </c>
      <c r="E26" s="368">
        <f>[2]Loes!$D26</f>
        <v>3856</v>
      </c>
      <c r="F26" s="368">
        <f t="shared" si="2"/>
        <v>-3856</v>
      </c>
      <c r="G26" s="366"/>
      <c r="H26" s="455"/>
      <c r="N26" s="33" t="s">
        <v>1365</v>
      </c>
      <c r="O26" s="33" t="s">
        <v>1366</v>
      </c>
    </row>
    <row r="27" spans="2:16" x14ac:dyDescent="0.3">
      <c r="B27" s="367" t="s">
        <v>1171</v>
      </c>
      <c r="C27" s="365" t="s">
        <v>369</v>
      </c>
      <c r="D27" s="368">
        <f>[3]Loes!$I$27</f>
        <v>0</v>
      </c>
      <c r="E27" s="368">
        <f>[2]Loes!$D27</f>
        <v>4000</v>
      </c>
      <c r="F27" s="368">
        <f t="shared" si="2"/>
        <v>-4000</v>
      </c>
      <c r="G27" s="366"/>
      <c r="H27" s="455"/>
      <c r="N27" s="33" t="s">
        <v>1365</v>
      </c>
      <c r="O27" s="33" t="s">
        <v>1366</v>
      </c>
    </row>
    <row r="28" spans="2:16" x14ac:dyDescent="0.3">
      <c r="B28" s="367" t="s">
        <v>1172</v>
      </c>
      <c r="C28" s="365" t="s">
        <v>370</v>
      </c>
      <c r="D28" s="368">
        <f>[3]Loes!$I$28</f>
        <v>0</v>
      </c>
      <c r="E28" s="368">
        <f>[2]Loes!$D28</f>
        <v>3100</v>
      </c>
      <c r="F28" s="368">
        <f t="shared" si="2"/>
        <v>-3100</v>
      </c>
      <c r="G28" s="366"/>
      <c r="H28" s="455"/>
      <c r="N28" s="33" t="s">
        <v>1369</v>
      </c>
      <c r="O28" s="33" t="s">
        <v>1366</v>
      </c>
      <c r="P28" s="33" t="s">
        <v>1367</v>
      </c>
    </row>
    <row r="29" spans="2:16" x14ac:dyDescent="0.3">
      <c r="B29" s="367" t="s">
        <v>1173</v>
      </c>
      <c r="C29" s="365" t="s">
        <v>371</v>
      </c>
      <c r="D29" s="368">
        <f>[3]Loes!$I$29</f>
        <v>0</v>
      </c>
      <c r="E29" s="368">
        <f>[2]Loes!$D29</f>
        <v>1200</v>
      </c>
      <c r="F29" s="368">
        <f t="shared" si="2"/>
        <v>-1200</v>
      </c>
      <c r="G29" s="366"/>
      <c r="H29" s="455"/>
      <c r="N29" s="33" t="s">
        <v>1369</v>
      </c>
      <c r="O29" s="33" t="s">
        <v>1370</v>
      </c>
      <c r="P29" s="33" t="s">
        <v>1367</v>
      </c>
    </row>
    <row r="30" spans="2:16" s="32" customFormat="1" ht="14.5" thickBot="1" x14ac:dyDescent="0.35">
      <c r="B30" s="301" t="s">
        <v>1174</v>
      </c>
      <c r="C30" s="302" t="s">
        <v>372</v>
      </c>
      <c r="D30" s="363">
        <v>64190</v>
      </c>
      <c r="E30" s="363">
        <f>SUM(E23:E29)</f>
        <v>35856</v>
      </c>
      <c r="F30" s="363">
        <f t="shared" si="2"/>
        <v>28334</v>
      </c>
      <c r="G30" s="403">
        <f t="shared" si="4"/>
        <v>0.55859999999999999</v>
      </c>
      <c r="H30" s="455">
        <f t="shared" si="6"/>
        <v>0.55859999999999999</v>
      </c>
    </row>
    <row r="31" spans="2:16" ht="14.25" customHeight="1" x14ac:dyDescent="0.3">
      <c r="B31" s="367"/>
      <c r="C31" s="365"/>
      <c r="D31" s="368"/>
      <c r="E31" s="368"/>
      <c r="F31" s="368"/>
      <c r="G31" s="366"/>
      <c r="H31" s="455"/>
    </row>
    <row r="32" spans="2:16" x14ac:dyDescent="0.3">
      <c r="B32" s="367" t="s">
        <v>1175</v>
      </c>
      <c r="C32" s="365" t="s">
        <v>373</v>
      </c>
      <c r="D32" s="368">
        <f>[3]Loes!$I$32</f>
        <v>7843</v>
      </c>
      <c r="E32" s="368">
        <f>[2]Loes!$D32</f>
        <v>1800</v>
      </c>
      <c r="F32" s="368">
        <f t="shared" si="2"/>
        <v>6043</v>
      </c>
      <c r="G32" s="366">
        <f t="shared" si="4"/>
        <v>0.22950000000000001</v>
      </c>
      <c r="H32" s="455"/>
      <c r="N32" s="33" t="s">
        <v>1369</v>
      </c>
      <c r="O32" s="33" t="s">
        <v>1366</v>
      </c>
      <c r="P32" s="33" t="s">
        <v>1375</v>
      </c>
    </row>
    <row r="33" spans="2:16" x14ac:dyDescent="0.3">
      <c r="B33" s="367" t="s">
        <v>1176</v>
      </c>
      <c r="C33" s="365" t="s">
        <v>374</v>
      </c>
      <c r="D33" s="368">
        <f>[3]Loes!$I$33</f>
        <v>8556</v>
      </c>
      <c r="E33" s="368">
        <f>[2]Loes!$D33</f>
        <v>2500</v>
      </c>
      <c r="F33" s="368">
        <f t="shared" si="2"/>
        <v>6056</v>
      </c>
      <c r="G33" s="366">
        <f t="shared" si="4"/>
        <v>0.29220000000000002</v>
      </c>
      <c r="H33" s="455"/>
    </row>
    <row r="34" spans="2:16" x14ac:dyDescent="0.3">
      <c r="B34" s="367" t="s">
        <v>1177</v>
      </c>
      <c r="C34" s="365" t="s">
        <v>375</v>
      </c>
      <c r="D34" s="368">
        <f>[3]Loes!$I$34</f>
        <v>9268</v>
      </c>
      <c r="E34" s="368">
        <f>[2]Loes!$D34</f>
        <v>5623</v>
      </c>
      <c r="F34" s="368">
        <f t="shared" si="2"/>
        <v>3645</v>
      </c>
      <c r="G34" s="366">
        <f t="shared" si="4"/>
        <v>0.60670000000000002</v>
      </c>
      <c r="H34" s="455"/>
      <c r="N34" s="33" t="s">
        <v>1369</v>
      </c>
      <c r="O34" s="33" t="s">
        <v>1366</v>
      </c>
    </row>
    <row r="35" spans="2:16" x14ac:dyDescent="0.3">
      <c r="B35" s="367" t="s">
        <v>1178</v>
      </c>
      <c r="C35" s="365" t="s">
        <v>376</v>
      </c>
      <c r="D35" s="368">
        <f>[3]Loes!$I$35</f>
        <v>8199</v>
      </c>
      <c r="E35" s="368">
        <f>[2]Loes!$D35</f>
        <v>2734</v>
      </c>
      <c r="F35" s="368">
        <f t="shared" si="2"/>
        <v>5465</v>
      </c>
      <c r="G35" s="366">
        <f t="shared" si="4"/>
        <v>0.33350000000000002</v>
      </c>
      <c r="H35" s="455"/>
    </row>
    <row r="36" spans="2:16" x14ac:dyDescent="0.3">
      <c r="B36" s="367" t="s">
        <v>1179</v>
      </c>
      <c r="C36" s="365" t="s">
        <v>378</v>
      </c>
      <c r="D36" s="368">
        <f>[3]Loes!$I$36</f>
        <v>12120</v>
      </c>
      <c r="E36" s="368">
        <f>[2]Loes!$D36</f>
        <v>8080</v>
      </c>
      <c r="F36" s="368">
        <f t="shared" si="2"/>
        <v>4040</v>
      </c>
      <c r="G36" s="366">
        <f t="shared" si="4"/>
        <v>0.66669999999999996</v>
      </c>
      <c r="H36" s="455"/>
      <c r="N36" s="33" t="s">
        <v>1372</v>
      </c>
      <c r="O36" s="33" t="s">
        <v>1370</v>
      </c>
      <c r="P36" s="33" t="s">
        <v>1367</v>
      </c>
    </row>
    <row r="37" spans="2:16" x14ac:dyDescent="0.3">
      <c r="B37" s="367" t="s">
        <v>1180</v>
      </c>
      <c r="C37" s="365" t="s">
        <v>379</v>
      </c>
      <c r="D37" s="368">
        <f>[3]Loes!$I$37</f>
        <v>7130</v>
      </c>
      <c r="E37" s="368">
        <f>[2]Loes!$D37</f>
        <v>3500</v>
      </c>
      <c r="F37" s="368">
        <f t="shared" si="2"/>
        <v>3630</v>
      </c>
      <c r="G37" s="366">
        <f t="shared" si="4"/>
        <v>0.4909</v>
      </c>
      <c r="H37" s="455"/>
    </row>
    <row r="38" spans="2:16" x14ac:dyDescent="0.3">
      <c r="B38" s="367" t="s">
        <v>1181</v>
      </c>
      <c r="C38" s="365" t="s">
        <v>377</v>
      </c>
      <c r="D38" s="368">
        <f>[3]Loes!$I$38</f>
        <v>2495</v>
      </c>
      <c r="E38" s="368">
        <f>[2]Loes!$D38</f>
        <v>2000</v>
      </c>
      <c r="F38" s="368">
        <f t="shared" si="2"/>
        <v>495</v>
      </c>
      <c r="G38" s="366">
        <f t="shared" si="4"/>
        <v>0.80159999999999998</v>
      </c>
      <c r="H38" s="455"/>
      <c r="N38" s="33" t="s">
        <v>1369</v>
      </c>
      <c r="O38" s="33" t="s">
        <v>1366</v>
      </c>
      <c r="P38" s="33" t="s">
        <v>1375</v>
      </c>
    </row>
    <row r="39" spans="2:16" x14ac:dyDescent="0.3">
      <c r="B39" s="367" t="s">
        <v>1182</v>
      </c>
      <c r="C39" s="365" t="s">
        <v>380</v>
      </c>
      <c r="D39" s="368">
        <f>[3]Loes!$I$39</f>
        <v>9268</v>
      </c>
      <c r="E39" s="368">
        <f>[2]Loes!$D39</f>
        <v>4686</v>
      </c>
      <c r="F39" s="368">
        <f t="shared" si="2"/>
        <v>4582</v>
      </c>
      <c r="G39" s="366">
        <f t="shared" si="4"/>
        <v>0.50560000000000005</v>
      </c>
      <c r="H39" s="455"/>
      <c r="N39" s="33" t="s">
        <v>1369</v>
      </c>
      <c r="O39" s="33" t="s">
        <v>1370</v>
      </c>
      <c r="P39" s="33" t="s">
        <v>1367</v>
      </c>
    </row>
    <row r="40" spans="2:16" x14ac:dyDescent="0.3">
      <c r="B40" s="367"/>
      <c r="C40" s="384" t="s">
        <v>1378</v>
      </c>
      <c r="D40" s="368">
        <v>0</v>
      </c>
      <c r="E40" s="368">
        <f>[4]Loes!$D$40</f>
        <v>0</v>
      </c>
      <c r="F40" s="368">
        <f t="shared" si="2"/>
        <v>0</v>
      </c>
      <c r="G40" s="366"/>
      <c r="H40" s="455"/>
    </row>
    <row r="41" spans="2:16" s="32" customFormat="1" ht="14.5" thickBot="1" x14ac:dyDescent="0.35">
      <c r="B41" s="301" t="s">
        <v>1183</v>
      </c>
      <c r="C41" s="302" t="s">
        <v>381</v>
      </c>
      <c r="D41" s="363">
        <f>SUM(D32:D40)</f>
        <v>64879</v>
      </c>
      <c r="E41" s="363">
        <f>SUM(E32:E39)</f>
        <v>30923</v>
      </c>
      <c r="F41" s="363">
        <f t="shared" si="2"/>
        <v>33956</v>
      </c>
      <c r="G41" s="403">
        <f t="shared" si="4"/>
        <v>0.47660000000000002</v>
      </c>
      <c r="H41" s="455">
        <f t="shared" si="6"/>
        <v>0.47660000000000002</v>
      </c>
    </row>
    <row r="42" spans="2:16" ht="14.25" customHeight="1" x14ac:dyDescent="0.3">
      <c r="B42" s="367"/>
      <c r="C42" s="365"/>
      <c r="D42" s="368"/>
      <c r="E42" s="368"/>
      <c r="F42" s="368"/>
      <c r="G42" s="366"/>
      <c r="H42" s="455"/>
    </row>
    <row r="43" spans="2:16" x14ac:dyDescent="0.3">
      <c r="B43" s="367" t="s">
        <v>1184</v>
      </c>
      <c r="C43" s="365" t="s">
        <v>382</v>
      </c>
      <c r="D43" s="368">
        <f>[3]Loes!$I$43</f>
        <v>3393</v>
      </c>
      <c r="E43" s="368">
        <f>[2]Loes!$D43</f>
        <v>2376</v>
      </c>
      <c r="F43" s="368">
        <f t="shared" si="2"/>
        <v>1017</v>
      </c>
      <c r="G43" s="366">
        <f t="shared" si="4"/>
        <v>0.70030000000000003</v>
      </c>
      <c r="H43" s="455"/>
      <c r="N43" s="33" t="s">
        <v>1369</v>
      </c>
      <c r="O43" s="33" t="s">
        <v>1370</v>
      </c>
      <c r="P43" s="33" t="s">
        <v>1367</v>
      </c>
    </row>
    <row r="44" spans="2:16" x14ac:dyDescent="0.3">
      <c r="B44" s="644" t="s">
        <v>1185</v>
      </c>
      <c r="C44" s="645" t="s">
        <v>383</v>
      </c>
      <c r="D44" s="642">
        <f>[3]Loes!$I$44</f>
        <v>2099</v>
      </c>
      <c r="E44" s="642">
        <f>[2]Loes!$D44</f>
        <v>2100</v>
      </c>
      <c r="F44" s="642">
        <f t="shared" si="2"/>
        <v>-1</v>
      </c>
      <c r="G44" s="646">
        <f t="shared" si="4"/>
        <v>1.0004999999999999</v>
      </c>
      <c r="H44" s="455"/>
      <c r="N44" s="33" t="s">
        <v>1365</v>
      </c>
      <c r="O44" s="33" t="s">
        <v>1366</v>
      </c>
      <c r="P44" s="33" t="s">
        <v>1371</v>
      </c>
    </row>
    <row r="45" spans="2:16" x14ac:dyDescent="0.3">
      <c r="B45" s="644" t="s">
        <v>1186</v>
      </c>
      <c r="C45" s="645" t="s">
        <v>384</v>
      </c>
      <c r="D45" s="642">
        <f>[3]Loes!$I$45</f>
        <v>1940</v>
      </c>
      <c r="E45" s="642">
        <f>[2]Loes!$D45</f>
        <v>1940</v>
      </c>
      <c r="F45" s="642">
        <f t="shared" si="2"/>
        <v>0</v>
      </c>
      <c r="G45" s="646">
        <f t="shared" si="4"/>
        <v>1</v>
      </c>
      <c r="H45" s="455"/>
      <c r="N45" s="33" t="s">
        <v>1365</v>
      </c>
      <c r="O45" s="33" t="s">
        <v>1366</v>
      </c>
    </row>
    <row r="46" spans="2:16" x14ac:dyDescent="0.3">
      <c r="B46" s="644" t="s">
        <v>1187</v>
      </c>
      <c r="C46" s="645" t="s">
        <v>385</v>
      </c>
      <c r="D46" s="642">
        <f>[3]Loes!$I$46</f>
        <v>3877</v>
      </c>
      <c r="E46" s="642">
        <f>[2]Loes!$D46</f>
        <v>5000</v>
      </c>
      <c r="F46" s="642">
        <f t="shared" si="2"/>
        <v>-1123</v>
      </c>
      <c r="G46" s="646">
        <f t="shared" si="4"/>
        <v>1.2897000000000001</v>
      </c>
      <c r="H46" s="455"/>
      <c r="N46" s="33" t="s">
        <v>1369</v>
      </c>
      <c r="O46" s="33" t="s">
        <v>1370</v>
      </c>
      <c r="P46" s="33" t="s">
        <v>1367</v>
      </c>
    </row>
    <row r="47" spans="2:16" x14ac:dyDescent="0.3">
      <c r="B47" s="367" t="s">
        <v>1188</v>
      </c>
      <c r="C47" s="365" t="s">
        <v>386</v>
      </c>
      <c r="D47" s="368">
        <f>[3]Loes!$I$47</f>
        <v>2584</v>
      </c>
      <c r="E47" s="368">
        <f>[2]Loes!$D47</f>
        <v>1721</v>
      </c>
      <c r="F47" s="368">
        <f t="shared" si="2"/>
        <v>863</v>
      </c>
      <c r="G47" s="366">
        <f t="shared" si="4"/>
        <v>0.66600000000000004</v>
      </c>
      <c r="H47" s="455"/>
      <c r="N47" s="33" t="s">
        <v>1372</v>
      </c>
      <c r="O47" s="33" t="s">
        <v>1370</v>
      </c>
      <c r="P47" s="33" t="s">
        <v>1367</v>
      </c>
    </row>
    <row r="48" spans="2:16" x14ac:dyDescent="0.3">
      <c r="B48" s="644" t="s">
        <v>1189</v>
      </c>
      <c r="C48" s="645" t="s">
        <v>387</v>
      </c>
      <c r="D48" s="642">
        <f>[3]Loes!$I$48</f>
        <v>2261</v>
      </c>
      <c r="E48" s="642">
        <f>[2]Loes!$D48</f>
        <v>2261</v>
      </c>
      <c r="F48" s="642">
        <f t="shared" si="2"/>
        <v>0</v>
      </c>
      <c r="G48" s="646">
        <f t="shared" si="4"/>
        <v>1</v>
      </c>
      <c r="H48" s="455"/>
      <c r="N48" s="33" t="s">
        <v>1365</v>
      </c>
      <c r="O48" s="33" t="s">
        <v>1366</v>
      </c>
      <c r="P48" s="33" t="s">
        <v>1368</v>
      </c>
    </row>
    <row r="49" spans="2:16" s="32" customFormat="1" ht="14.5" thickBot="1" x14ac:dyDescent="0.35">
      <c r="B49" s="301" t="s">
        <v>1190</v>
      </c>
      <c r="C49" s="302" t="s">
        <v>388</v>
      </c>
      <c r="D49" s="363">
        <f>SUM(D43:D48)</f>
        <v>16154</v>
      </c>
      <c r="E49" s="363">
        <f>SUM(E43:E48)</f>
        <v>15398</v>
      </c>
      <c r="F49" s="363">
        <f t="shared" si="2"/>
        <v>756</v>
      </c>
      <c r="G49" s="403">
        <f t="shared" si="4"/>
        <v>0.95320000000000005</v>
      </c>
      <c r="H49" s="455">
        <f t="shared" si="6"/>
        <v>0.95320000000000005</v>
      </c>
    </row>
    <row r="50" spans="2:16" ht="14.25" customHeight="1" x14ac:dyDescent="0.3">
      <c r="B50" s="367"/>
      <c r="C50" s="365"/>
      <c r="D50" s="368"/>
      <c r="E50" s="368"/>
      <c r="F50" s="368"/>
      <c r="G50" s="366"/>
      <c r="H50" s="455"/>
    </row>
    <row r="51" spans="2:16" x14ac:dyDescent="0.3">
      <c r="B51" s="367" t="s">
        <v>1191</v>
      </c>
      <c r="C51" s="365" t="s">
        <v>389</v>
      </c>
      <c r="D51" s="368">
        <v>16430</v>
      </c>
      <c r="E51" s="368">
        <f>[2]Loes!$D51</f>
        <v>9858</v>
      </c>
      <c r="F51" s="368">
        <f t="shared" ref="F51:F52" si="7">D51-E51</f>
        <v>6572</v>
      </c>
      <c r="G51" s="366">
        <f t="shared" ref="G51:G52" si="8">ROUND((E51/D51),4)</f>
        <v>0.6</v>
      </c>
      <c r="H51" s="455"/>
      <c r="N51" s="33" t="s">
        <v>1369</v>
      </c>
      <c r="O51" s="33" t="s">
        <v>1370</v>
      </c>
      <c r="P51" s="33" t="s">
        <v>1367</v>
      </c>
    </row>
    <row r="52" spans="2:16" x14ac:dyDescent="0.3">
      <c r="B52" s="367" t="s">
        <v>1192</v>
      </c>
      <c r="C52" s="365" t="s">
        <v>390</v>
      </c>
      <c r="D52" s="368">
        <v>53205</v>
      </c>
      <c r="E52" s="368">
        <f>[2]Loes!$D52</f>
        <v>25028</v>
      </c>
      <c r="F52" s="368">
        <f t="shared" si="7"/>
        <v>28177</v>
      </c>
      <c r="G52" s="366">
        <f t="shared" si="8"/>
        <v>0.47039999999999998</v>
      </c>
      <c r="H52" s="455"/>
      <c r="N52" s="33" t="s">
        <v>1365</v>
      </c>
      <c r="O52" s="33" t="s">
        <v>1366</v>
      </c>
      <c r="P52" s="33" t="s">
        <v>1367</v>
      </c>
    </row>
    <row r="53" spans="2:16" s="32" customFormat="1" ht="14.5" thickBot="1" x14ac:dyDescent="0.35">
      <c r="B53" s="301" t="s">
        <v>1193</v>
      </c>
      <c r="C53" s="302" t="s">
        <v>391</v>
      </c>
      <c r="D53" s="363">
        <f>SUM(D51:D52)</f>
        <v>69635</v>
      </c>
      <c r="E53" s="363">
        <f>SUM(E51:E52)</f>
        <v>34886</v>
      </c>
      <c r="F53" s="363">
        <f t="shared" si="2"/>
        <v>34749</v>
      </c>
      <c r="G53" s="403">
        <f t="shared" si="4"/>
        <v>0.501</v>
      </c>
      <c r="H53" s="455">
        <f t="shared" si="6"/>
        <v>0.501</v>
      </c>
    </row>
    <row r="54" spans="2:16" ht="14.25" customHeight="1" x14ac:dyDescent="0.3">
      <c r="B54" s="367"/>
      <c r="C54" s="365"/>
      <c r="D54" s="368"/>
      <c r="E54" s="368"/>
      <c r="F54" s="368"/>
      <c r="G54" s="456"/>
    </row>
    <row r="55" spans="2:16" s="32" customFormat="1" ht="15" customHeight="1" thickBot="1" x14ac:dyDescent="0.35">
      <c r="B55" s="301"/>
      <c r="C55" s="302" t="s">
        <v>57</v>
      </c>
      <c r="D55" s="363">
        <f>SUM(D53,D49,D41,D30,D21,D10)-D20</f>
        <v>352456</v>
      </c>
      <c r="E55" s="363">
        <f>SUM(E53,E49,E41,E30,E21,E10)</f>
        <v>170755</v>
      </c>
      <c r="F55" s="363">
        <f t="shared" si="2"/>
        <v>181701</v>
      </c>
      <c r="G55" s="457">
        <f t="shared" si="4"/>
        <v>0.48449999999999999</v>
      </c>
    </row>
    <row r="56" spans="2:16" s="32" customFormat="1" ht="15" customHeight="1" x14ac:dyDescent="0.3">
      <c r="B56" s="436"/>
      <c r="C56" s="533"/>
      <c r="D56" s="440"/>
      <c r="E56" s="440"/>
      <c r="F56" s="440"/>
      <c r="G56" s="534"/>
    </row>
    <row r="57" spans="2:16" s="32" customFormat="1" ht="15" customHeight="1" thickBot="1" x14ac:dyDescent="0.35">
      <c r="B57" s="442"/>
      <c r="C57" s="468" t="s">
        <v>1621</v>
      </c>
      <c r="D57" s="370">
        <f>D55+D20</f>
        <v>352456</v>
      </c>
      <c r="E57" s="370">
        <f t="shared" ref="E57:F57" si="9">E55+E20</f>
        <v>170755</v>
      </c>
      <c r="F57" s="370">
        <f t="shared" si="9"/>
        <v>181701</v>
      </c>
      <c r="G57" s="457">
        <f>E57/D57</f>
        <v>0.48447182059604604</v>
      </c>
    </row>
    <row r="58" spans="2:16" s="32" customFormat="1" ht="15" customHeight="1" x14ac:dyDescent="0.3">
      <c r="B58" s="436"/>
      <c r="C58" s="533"/>
      <c r="D58" s="440"/>
      <c r="E58" s="440"/>
      <c r="F58" s="440"/>
      <c r="G58" s="534"/>
    </row>
    <row r="59" spans="2:16" ht="14.5" thickBot="1" x14ac:dyDescent="0.35">
      <c r="B59" s="301"/>
      <c r="C59" s="302" t="s">
        <v>1657</v>
      </c>
      <c r="D59" s="363">
        <f>[5]Summary!$D$20</f>
        <v>335606</v>
      </c>
      <c r="E59" s="363">
        <f>[6]Loes!$D$55</f>
        <v>144590</v>
      </c>
      <c r="F59" s="363">
        <f>D59-E59</f>
        <v>191016</v>
      </c>
      <c r="G59" s="457">
        <f>E59/D59</f>
        <v>0.43083258344606473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P41"/>
  <sheetViews>
    <sheetView topLeftCell="A27" zoomScaleNormal="100" workbookViewId="0">
      <selection activeCell="B44" sqref="B44"/>
    </sheetView>
  </sheetViews>
  <sheetFormatPr defaultColWidth="8.58203125" defaultRowHeight="14" x14ac:dyDescent="0.3"/>
  <cols>
    <col min="1" max="1" width="9" style="33" customWidth="1"/>
    <col min="2" max="2" width="10.5" style="33" bestFit="1" customWidth="1"/>
    <col min="3" max="3" width="37.33203125" style="33" bestFit="1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20.33203125" style="33" hidden="1" customWidth="1"/>
    <col min="12" max="12" width="9" style="33" hidden="1" customWidth="1"/>
    <col min="13" max="13" width="1.83203125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7" width="9" style="33" customWidth="1"/>
    <col min="18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COUNTIF(H8:H55,"&gt;1")</f>
        <v>0</v>
      </c>
    </row>
    <row r="4" spans="2:16" s="32" customFormat="1" ht="18" thickBot="1" x14ac:dyDescent="0.4">
      <c r="B4" s="413"/>
      <c r="C4" s="414" t="s">
        <v>392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COUNTIF(H8:H55,1)</f>
        <v>0</v>
      </c>
    </row>
    <row r="5" spans="2:16" ht="14.25" customHeight="1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f>COUNTIFS(H8:H55,"&gt;="&amp;Target,H8:H55,"&lt;"&amp;1)</f>
        <v>1</v>
      </c>
    </row>
    <row r="6" spans="2:16" s="32" customFormat="1" ht="14.5" thickBot="1" x14ac:dyDescent="0.35">
      <c r="B6" s="418" t="s">
        <v>600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553</v>
      </c>
      <c r="K6" s="33" t="s">
        <v>1539</v>
      </c>
      <c r="L6" s="33">
        <v>4</v>
      </c>
      <c r="N6" s="32" t="s">
        <v>1362</v>
      </c>
      <c r="O6" s="32" t="s">
        <v>1363</v>
      </c>
      <c r="P6" s="32" t="s">
        <v>1364</v>
      </c>
    </row>
    <row r="7" spans="2:16" ht="14.25" customHeight="1" x14ac:dyDescent="0.3">
      <c r="B7" s="422"/>
      <c r="C7" s="424"/>
      <c r="D7" s="424"/>
      <c r="E7" s="424"/>
      <c r="F7" s="424"/>
      <c r="G7" s="454"/>
      <c r="K7" s="33" t="s">
        <v>547</v>
      </c>
      <c r="L7" s="33">
        <v>0</v>
      </c>
    </row>
    <row r="8" spans="2:16" x14ac:dyDescent="0.3">
      <c r="B8" s="367" t="s">
        <v>1195</v>
      </c>
      <c r="C8" s="365" t="s">
        <v>393</v>
      </c>
      <c r="D8" s="368">
        <f>[3]Samford!$I$8</f>
        <v>18000</v>
      </c>
      <c r="E8" s="368">
        <f>[2]Samford!$D8</f>
        <v>12000</v>
      </c>
      <c r="F8" s="368">
        <f t="shared" ref="F8:F9" si="0">D8-E8</f>
        <v>6000</v>
      </c>
      <c r="G8" s="366">
        <f t="shared" ref="G8:G9" si="1">ROUND((E8/D8),4)</f>
        <v>0.66669999999999996</v>
      </c>
      <c r="H8" s="462"/>
      <c r="L8" s="33">
        <f>SUM(L3:L7)</f>
        <v>5</v>
      </c>
      <c r="N8" s="33" t="s">
        <v>1369</v>
      </c>
    </row>
    <row r="9" spans="2:16" x14ac:dyDescent="0.3">
      <c r="B9" s="540" t="s">
        <v>1196</v>
      </c>
      <c r="C9" s="365" t="s">
        <v>394</v>
      </c>
      <c r="D9" s="368">
        <f>[3]Samford!$I$9</f>
        <v>4166</v>
      </c>
      <c r="E9" s="368">
        <f>[2]Samford!$D9</f>
        <v>3000</v>
      </c>
      <c r="F9" s="368">
        <f t="shared" si="0"/>
        <v>1166</v>
      </c>
      <c r="G9" s="375">
        <f t="shared" si="1"/>
        <v>0.72009999999999996</v>
      </c>
      <c r="H9" s="462"/>
      <c r="N9" s="33" t="s">
        <v>1365</v>
      </c>
      <c r="O9" s="33" t="s">
        <v>1366</v>
      </c>
    </row>
    <row r="10" spans="2:16" s="32" customFormat="1" ht="14.5" thickBot="1" x14ac:dyDescent="0.35">
      <c r="B10" s="301" t="s">
        <v>1197</v>
      </c>
      <c r="C10" s="302" t="s">
        <v>395</v>
      </c>
      <c r="D10" s="363">
        <f>SUM(D8:D9)</f>
        <v>22166</v>
      </c>
      <c r="E10" s="363">
        <f>SUM(E8:E9)</f>
        <v>15000</v>
      </c>
      <c r="F10" s="363">
        <f t="shared" ref="F10:F37" si="2">D10-E10</f>
        <v>7166</v>
      </c>
      <c r="G10" s="403">
        <f t="shared" ref="G10:G37" si="3">ROUND((E10/D10),4)</f>
        <v>0.67669999999999997</v>
      </c>
      <c r="H10" s="455">
        <f t="shared" ref="H10:H35" si="4">G10</f>
        <v>0.67669999999999997</v>
      </c>
      <c r="K10" s="33"/>
      <c r="L10" s="33"/>
    </row>
    <row r="11" spans="2:16" ht="14.25" customHeight="1" x14ac:dyDescent="0.3">
      <c r="B11" s="429"/>
      <c r="C11" s="431"/>
      <c r="D11" s="431"/>
      <c r="E11" s="431"/>
      <c r="F11" s="431"/>
      <c r="G11" s="461"/>
      <c r="H11" s="462"/>
    </row>
    <row r="12" spans="2:16" x14ac:dyDescent="0.3">
      <c r="B12" s="367" t="s">
        <v>1198</v>
      </c>
      <c r="C12" s="365" t="s">
        <v>396</v>
      </c>
      <c r="D12" s="368">
        <f>[3]Samford!$I$12</f>
        <v>26025</v>
      </c>
      <c r="E12" s="368">
        <f>[2]Samford!$D12</f>
        <v>10970</v>
      </c>
      <c r="F12" s="368">
        <f t="shared" si="2"/>
        <v>15055</v>
      </c>
      <c r="G12" s="366">
        <f t="shared" si="3"/>
        <v>0.42149999999999999</v>
      </c>
      <c r="H12" s="462"/>
      <c r="N12" s="33" t="s">
        <v>1365</v>
      </c>
      <c r="O12" s="33" t="s">
        <v>1366</v>
      </c>
      <c r="P12" s="33" t="s">
        <v>1367</v>
      </c>
    </row>
    <row r="13" spans="2:16" x14ac:dyDescent="0.3">
      <c r="B13" s="367" t="s">
        <v>1199</v>
      </c>
      <c r="C13" s="384" t="s">
        <v>397</v>
      </c>
      <c r="D13" s="368">
        <f>[3]Samford!$I$13</f>
        <v>52047</v>
      </c>
      <c r="E13" s="368">
        <f>[2]Samford!$D13</f>
        <v>22000</v>
      </c>
      <c r="F13" s="369">
        <f t="shared" si="2"/>
        <v>30047</v>
      </c>
      <c r="G13" s="366">
        <f t="shared" si="3"/>
        <v>0.42270000000000002</v>
      </c>
      <c r="H13" s="462"/>
      <c r="N13" s="33" t="s">
        <v>1365</v>
      </c>
      <c r="O13" s="33" t="s">
        <v>1366</v>
      </c>
      <c r="P13" s="33" t="s">
        <v>1367</v>
      </c>
    </row>
    <row r="14" spans="2:16" s="32" customFormat="1" ht="14.5" thickBot="1" x14ac:dyDescent="0.35">
      <c r="B14" s="301" t="s">
        <v>1200</v>
      </c>
      <c r="C14" s="302" t="s">
        <v>398</v>
      </c>
      <c r="D14" s="363">
        <f>SUM(D12:D13)</f>
        <v>78072</v>
      </c>
      <c r="E14" s="363">
        <f>SUM(E12:E13)</f>
        <v>32970</v>
      </c>
      <c r="F14" s="363">
        <f t="shared" si="2"/>
        <v>45102</v>
      </c>
      <c r="G14" s="403">
        <f t="shared" si="3"/>
        <v>0.42230000000000001</v>
      </c>
      <c r="H14" s="455">
        <f t="shared" si="4"/>
        <v>0.42230000000000001</v>
      </c>
    </row>
    <row r="15" spans="2:16" x14ac:dyDescent="0.3">
      <c r="B15" s="429"/>
      <c r="C15" s="459"/>
      <c r="D15" s="431"/>
      <c r="E15" s="431"/>
      <c r="F15" s="431"/>
      <c r="G15" s="461"/>
      <c r="H15" s="462"/>
    </row>
    <row r="16" spans="2:16" x14ac:dyDescent="0.3">
      <c r="B16" s="635" t="s">
        <v>1201</v>
      </c>
      <c r="C16" s="636" t="s">
        <v>399</v>
      </c>
      <c r="D16" s="637">
        <f>[3]Samford!$I$16</f>
        <v>6220</v>
      </c>
      <c r="E16" s="637">
        <f>[2]Samford!$D16</f>
        <v>0</v>
      </c>
      <c r="F16" s="637">
        <f t="shared" si="2"/>
        <v>6220</v>
      </c>
      <c r="G16" s="638">
        <f t="shared" si="3"/>
        <v>0</v>
      </c>
      <c r="H16" s="462"/>
      <c r="N16" s="33" t="s">
        <v>1365</v>
      </c>
      <c r="O16" s="33" t="s">
        <v>1366</v>
      </c>
    </row>
    <row r="17" spans="2:16" x14ac:dyDescent="0.3">
      <c r="B17" s="367" t="s">
        <v>1202</v>
      </c>
      <c r="C17" s="365" t="s">
        <v>400</v>
      </c>
      <c r="D17" s="368">
        <f>[3]Samford!$I$17</f>
        <v>10017</v>
      </c>
      <c r="E17" s="368">
        <f>[2]Samford!$D17</f>
        <v>6000</v>
      </c>
      <c r="F17" s="368">
        <f t="shared" si="2"/>
        <v>4017</v>
      </c>
      <c r="G17" s="366">
        <f t="shared" si="3"/>
        <v>0.59899999999999998</v>
      </c>
      <c r="H17" s="462"/>
      <c r="N17" s="33" t="s">
        <v>1365</v>
      </c>
      <c r="O17" s="33" t="s">
        <v>1366</v>
      </c>
    </row>
    <row r="18" spans="2:16" x14ac:dyDescent="0.3">
      <c r="B18" s="367" t="s">
        <v>1203</v>
      </c>
      <c r="C18" s="365" t="s">
        <v>401</v>
      </c>
      <c r="D18" s="368">
        <f>[3]Samford!$I$18</f>
        <v>9011</v>
      </c>
      <c r="E18" s="368">
        <f>[2]Samford!$D18</f>
        <v>4000</v>
      </c>
      <c r="F18" s="368">
        <f t="shared" si="2"/>
        <v>5011</v>
      </c>
      <c r="G18" s="366">
        <f t="shared" si="3"/>
        <v>0.44390000000000002</v>
      </c>
      <c r="H18" s="462"/>
      <c r="N18" s="33" t="s">
        <v>1365</v>
      </c>
      <c r="O18" s="33" t="s">
        <v>1366</v>
      </c>
    </row>
    <row r="19" spans="2:16" x14ac:dyDescent="0.3">
      <c r="B19" s="367" t="s">
        <v>1204</v>
      </c>
      <c r="C19" s="365" t="s">
        <v>402</v>
      </c>
      <c r="D19" s="368">
        <f>[3]Samford!$I$19</f>
        <v>17228</v>
      </c>
      <c r="E19" s="368">
        <f>[2]Samford!$D19</f>
        <v>6000</v>
      </c>
      <c r="F19" s="368">
        <f t="shared" si="2"/>
        <v>11228</v>
      </c>
      <c r="G19" s="366">
        <f t="shared" si="3"/>
        <v>0.3483</v>
      </c>
      <c r="H19" s="462"/>
      <c r="N19" s="33" t="s">
        <v>1365</v>
      </c>
      <c r="O19" s="33" t="s">
        <v>1366</v>
      </c>
    </row>
    <row r="20" spans="2:16" x14ac:dyDescent="0.3">
      <c r="B20" s="367" t="s">
        <v>1205</v>
      </c>
      <c r="C20" s="365" t="s">
        <v>403</v>
      </c>
      <c r="D20" s="368">
        <f>[3]Samford!$I$20</f>
        <v>17396</v>
      </c>
      <c r="E20" s="368">
        <f>[2]Samford!$D20</f>
        <v>7000</v>
      </c>
      <c r="F20" s="368">
        <f t="shared" si="2"/>
        <v>10396</v>
      </c>
      <c r="G20" s="366">
        <f t="shared" si="3"/>
        <v>0.40239999999999998</v>
      </c>
      <c r="H20" s="462"/>
      <c r="N20" s="33" t="s">
        <v>1365</v>
      </c>
      <c r="O20" s="33" t="s">
        <v>1366</v>
      </c>
      <c r="P20" s="33" t="s">
        <v>1368</v>
      </c>
    </row>
    <row r="21" spans="2:16" x14ac:dyDescent="0.3">
      <c r="B21" s="367" t="s">
        <v>1206</v>
      </c>
      <c r="C21" s="384" t="s">
        <v>404</v>
      </c>
      <c r="D21" s="368">
        <f>[3]Samford!$I$21</f>
        <v>9428</v>
      </c>
      <c r="E21" s="368">
        <f>[2]Samford!$D21</f>
        <v>3000</v>
      </c>
      <c r="F21" s="369">
        <f t="shared" si="2"/>
        <v>6428</v>
      </c>
      <c r="G21" s="366">
        <f t="shared" si="3"/>
        <v>0.31819999999999998</v>
      </c>
      <c r="H21" s="462"/>
      <c r="N21" s="33" t="s">
        <v>1365</v>
      </c>
      <c r="O21" s="33" t="s">
        <v>1366</v>
      </c>
    </row>
    <row r="22" spans="2:16" s="32" customFormat="1" ht="14.5" thickBot="1" x14ac:dyDescent="0.35">
      <c r="B22" s="301" t="s">
        <v>1207</v>
      </c>
      <c r="C22" s="302" t="s">
        <v>405</v>
      </c>
      <c r="D22" s="363">
        <f>SUM(D16:D21)</f>
        <v>69300</v>
      </c>
      <c r="E22" s="363">
        <f>SUM(E16:E21)</f>
        <v>26000</v>
      </c>
      <c r="F22" s="363">
        <f t="shared" si="2"/>
        <v>43300</v>
      </c>
      <c r="G22" s="403">
        <f t="shared" si="3"/>
        <v>0.37519999999999998</v>
      </c>
      <c r="H22" s="455">
        <f t="shared" si="4"/>
        <v>0.37519999999999998</v>
      </c>
    </row>
    <row r="23" spans="2:16" x14ac:dyDescent="0.3">
      <c r="B23" s="429"/>
      <c r="C23" s="459"/>
      <c r="D23" s="431"/>
      <c r="E23" s="431"/>
      <c r="F23" s="431"/>
      <c r="G23" s="461"/>
      <c r="H23" s="462"/>
    </row>
    <row r="24" spans="2:16" x14ac:dyDescent="0.3">
      <c r="B24" s="367" t="s">
        <v>1208</v>
      </c>
      <c r="C24" s="365" t="s">
        <v>406</v>
      </c>
      <c r="D24" s="368">
        <f>[3]Samford!$I$24</f>
        <v>23325</v>
      </c>
      <c r="E24" s="368">
        <f>[2]Samford!$D24</f>
        <v>5600</v>
      </c>
      <c r="F24" s="368">
        <f t="shared" si="2"/>
        <v>17725</v>
      </c>
      <c r="G24" s="366">
        <f t="shared" si="3"/>
        <v>0.24010000000000001</v>
      </c>
      <c r="H24" s="462"/>
      <c r="N24" s="33" t="s">
        <v>1369</v>
      </c>
      <c r="O24" s="33" t="s">
        <v>1370</v>
      </c>
      <c r="P24" s="33" t="s">
        <v>1367</v>
      </c>
    </row>
    <row r="25" spans="2:16" x14ac:dyDescent="0.3">
      <c r="B25" s="367" t="s">
        <v>1209</v>
      </c>
      <c r="C25" s="365" t="s">
        <v>407</v>
      </c>
      <c r="D25" s="368">
        <f>[3]Samford!$I$25</f>
        <v>10643</v>
      </c>
      <c r="E25" s="368">
        <f>[2]Samford!$D25</f>
        <v>500</v>
      </c>
      <c r="F25" s="368">
        <f t="shared" si="2"/>
        <v>10143</v>
      </c>
      <c r="G25" s="366">
        <f t="shared" si="3"/>
        <v>4.7E-2</v>
      </c>
      <c r="H25" s="462"/>
      <c r="N25" s="33" t="s">
        <v>1365</v>
      </c>
      <c r="O25" s="33" t="s">
        <v>1366</v>
      </c>
      <c r="P25" s="33" t="s">
        <v>1367</v>
      </c>
    </row>
    <row r="26" spans="2:16" x14ac:dyDescent="0.3">
      <c r="B26" s="540" t="s">
        <v>1217</v>
      </c>
      <c r="C26" s="365" t="s">
        <v>408</v>
      </c>
      <c r="D26" s="368">
        <f>[3]Samford!$I$26</f>
        <v>16952</v>
      </c>
      <c r="E26" s="368">
        <f>[2]Samford!$D26</f>
        <v>8000</v>
      </c>
      <c r="F26" s="368">
        <f t="shared" si="2"/>
        <v>8952</v>
      </c>
      <c r="G26" s="375">
        <f t="shared" si="3"/>
        <v>0.47189999999999999</v>
      </c>
      <c r="H26" s="462"/>
      <c r="N26" s="33" t="s">
        <v>1369</v>
      </c>
      <c r="O26" s="33" t="s">
        <v>1366</v>
      </c>
      <c r="P26" s="33" t="s">
        <v>1371</v>
      </c>
    </row>
    <row r="27" spans="2:16" x14ac:dyDescent="0.3">
      <c r="B27" s="367" t="s">
        <v>1210</v>
      </c>
      <c r="C27" s="365" t="s">
        <v>409</v>
      </c>
      <c r="D27" s="368">
        <f>[3]Samford!$I$27</f>
        <v>17630</v>
      </c>
      <c r="E27" s="368">
        <f>[2]Samford!$D27</f>
        <v>3800</v>
      </c>
      <c r="F27" s="368">
        <f t="shared" si="2"/>
        <v>13830</v>
      </c>
      <c r="G27" s="366">
        <f t="shared" si="3"/>
        <v>0.2155</v>
      </c>
      <c r="H27" s="462"/>
      <c r="N27" s="33" t="s">
        <v>1369</v>
      </c>
      <c r="O27" s="33" t="s">
        <v>1370</v>
      </c>
      <c r="P27" s="33" t="s">
        <v>1367</v>
      </c>
    </row>
    <row r="28" spans="2:16" s="32" customFormat="1" ht="14.5" thickBot="1" x14ac:dyDescent="0.35">
      <c r="B28" s="301"/>
      <c r="C28" s="302" t="s">
        <v>410</v>
      </c>
      <c r="D28" s="363">
        <f>SUM(D24:D27)</f>
        <v>68550</v>
      </c>
      <c r="E28" s="363">
        <f>SUM(E24:E27)</f>
        <v>17900</v>
      </c>
      <c r="F28" s="363">
        <f t="shared" si="2"/>
        <v>50650</v>
      </c>
      <c r="G28" s="403">
        <f t="shared" si="3"/>
        <v>0.2611</v>
      </c>
      <c r="H28" s="455">
        <f t="shared" si="4"/>
        <v>0.2611</v>
      </c>
    </row>
    <row r="29" spans="2:16" ht="14.25" customHeight="1" x14ac:dyDescent="0.3">
      <c r="B29" s="429"/>
      <c r="C29" s="459"/>
      <c r="D29" s="431"/>
      <c r="E29" s="431"/>
      <c r="F29" s="431"/>
      <c r="G29" s="461"/>
      <c r="H29" s="462"/>
    </row>
    <row r="30" spans="2:16" x14ac:dyDescent="0.3">
      <c r="B30" s="639" t="s">
        <v>1211</v>
      </c>
      <c r="C30" s="645" t="s">
        <v>411</v>
      </c>
      <c r="D30" s="642">
        <f>[3]Samford!$I$31</f>
        <v>5351</v>
      </c>
      <c r="E30" s="642">
        <f>[2]Samford!$D30</f>
        <v>7658</v>
      </c>
      <c r="F30" s="642">
        <f t="shared" si="2"/>
        <v>-2307</v>
      </c>
      <c r="G30" s="643">
        <f t="shared" si="3"/>
        <v>1.4311</v>
      </c>
      <c r="H30" s="462"/>
      <c r="N30" s="33" t="s">
        <v>1369</v>
      </c>
      <c r="O30" s="33" t="s">
        <v>1370</v>
      </c>
      <c r="P30" s="33" t="s">
        <v>1367</v>
      </c>
    </row>
    <row r="31" spans="2:16" x14ac:dyDescent="0.3">
      <c r="B31" s="367" t="s">
        <v>1212</v>
      </c>
      <c r="C31" s="365" t="s">
        <v>412</v>
      </c>
      <c r="D31" s="368">
        <f>[3]Samford!$I$32</f>
        <v>23533</v>
      </c>
      <c r="E31" s="368">
        <f>[2]Samford!$D31</f>
        <v>6000</v>
      </c>
      <c r="F31" s="368">
        <f t="shared" si="2"/>
        <v>17533</v>
      </c>
      <c r="G31" s="366">
        <f t="shared" si="3"/>
        <v>0.255</v>
      </c>
      <c r="H31" s="462"/>
      <c r="N31" s="33" t="s">
        <v>1369</v>
      </c>
      <c r="O31" s="33" t="s">
        <v>1370</v>
      </c>
      <c r="P31" s="33" t="s">
        <v>1367</v>
      </c>
    </row>
    <row r="32" spans="2:16" x14ac:dyDescent="0.3">
      <c r="B32" s="540" t="s">
        <v>1213</v>
      </c>
      <c r="C32" s="365" t="s">
        <v>413</v>
      </c>
      <c r="D32" s="368">
        <f>[3]Samford!$I$33</f>
        <v>22066</v>
      </c>
      <c r="E32" s="368">
        <f>[2]Samford!$D32</f>
        <v>20000</v>
      </c>
      <c r="F32" s="368">
        <f t="shared" si="2"/>
        <v>2066</v>
      </c>
      <c r="G32" s="375">
        <f t="shared" si="3"/>
        <v>0.90639999999999998</v>
      </c>
      <c r="H32" s="462"/>
      <c r="N32" s="33" t="s">
        <v>1365</v>
      </c>
      <c r="O32" s="33" t="s">
        <v>1366</v>
      </c>
    </row>
    <row r="33" spans="2:16" x14ac:dyDescent="0.3">
      <c r="B33" s="540" t="s">
        <v>1214</v>
      </c>
      <c r="C33" s="365" t="s">
        <v>414</v>
      </c>
      <c r="D33" s="368">
        <f>[3]Samford!$I$34</f>
        <v>8736</v>
      </c>
      <c r="E33" s="368">
        <f>[2]Samford!$D33</f>
        <v>6117</v>
      </c>
      <c r="F33" s="368">
        <f t="shared" si="2"/>
        <v>2619</v>
      </c>
      <c r="G33" s="375">
        <f t="shared" si="3"/>
        <v>0.70020000000000004</v>
      </c>
      <c r="H33" s="462"/>
      <c r="N33" s="33" t="s">
        <v>1369</v>
      </c>
      <c r="O33" s="33" t="s">
        <v>1370</v>
      </c>
      <c r="P33" s="33" t="s">
        <v>1367</v>
      </c>
    </row>
    <row r="34" spans="2:16" x14ac:dyDescent="0.3">
      <c r="B34" s="647" t="s">
        <v>1215</v>
      </c>
      <c r="C34" s="636" t="s">
        <v>415</v>
      </c>
      <c r="D34" s="637">
        <f>[3]Samford!$I$35</f>
        <v>8680</v>
      </c>
      <c r="E34" s="637">
        <f>[2]Samford!$D34</f>
        <v>0</v>
      </c>
      <c r="F34" s="637">
        <f t="shared" si="2"/>
        <v>8680</v>
      </c>
      <c r="G34" s="648">
        <f t="shared" si="3"/>
        <v>0</v>
      </c>
      <c r="H34" s="462"/>
      <c r="N34" s="33" t="s">
        <v>1365</v>
      </c>
      <c r="O34" s="33" t="s">
        <v>1366</v>
      </c>
      <c r="P34" s="33" t="s">
        <v>1368</v>
      </c>
    </row>
    <row r="35" spans="2:16" s="32" customFormat="1" ht="14.5" thickBot="1" x14ac:dyDescent="0.35">
      <c r="B35" s="301" t="s">
        <v>1216</v>
      </c>
      <c r="C35" s="302" t="s">
        <v>416</v>
      </c>
      <c r="D35" s="363">
        <f>SUM(D30:D34)</f>
        <v>68366</v>
      </c>
      <c r="E35" s="363">
        <f>SUM(E30:E34)</f>
        <v>39775</v>
      </c>
      <c r="F35" s="363">
        <f t="shared" si="2"/>
        <v>28591</v>
      </c>
      <c r="G35" s="403">
        <f t="shared" si="3"/>
        <v>0.58179999999999998</v>
      </c>
      <c r="H35" s="455">
        <f t="shared" si="4"/>
        <v>0.58179999999999998</v>
      </c>
    </row>
    <row r="36" spans="2:16" x14ac:dyDescent="0.3">
      <c r="B36" s="367"/>
      <c r="C36" s="365"/>
      <c r="D36" s="368"/>
      <c r="E36" s="368"/>
      <c r="F36" s="368"/>
      <c r="G36" s="456"/>
    </row>
    <row r="37" spans="2:16" s="32" customFormat="1" ht="14.5" thickBot="1" x14ac:dyDescent="0.35">
      <c r="B37" s="301"/>
      <c r="C37" s="302" t="s">
        <v>57</v>
      </c>
      <c r="D37" s="363">
        <f>SUM(D10,D14,D22,D28,D35)</f>
        <v>306454</v>
      </c>
      <c r="E37" s="363">
        <f>SUM(E10,E14,E22,E28,E35)</f>
        <v>131645</v>
      </c>
      <c r="F37" s="363">
        <f t="shared" si="2"/>
        <v>174809</v>
      </c>
      <c r="G37" s="457">
        <f t="shared" si="3"/>
        <v>0.42959999999999998</v>
      </c>
    </row>
    <row r="38" spans="2:16" ht="14.25" customHeight="1" x14ac:dyDescent="0.3">
      <c r="B38" s="367"/>
      <c r="C38" s="365"/>
      <c r="D38" s="368"/>
      <c r="E38" s="368"/>
      <c r="F38" s="368"/>
      <c r="G38" s="366"/>
    </row>
    <row r="39" spans="2:16" ht="14.5" thickBot="1" x14ac:dyDescent="0.35">
      <c r="B39" s="301"/>
      <c r="C39" s="302" t="s">
        <v>1657</v>
      </c>
      <c r="D39" s="363">
        <f>[5]Summary!$D$21</f>
        <v>300651</v>
      </c>
      <c r="E39" s="363">
        <f>[6]Samford!$D$38</f>
        <v>128463</v>
      </c>
      <c r="F39" s="363">
        <f>D39-E39</f>
        <v>172188</v>
      </c>
      <c r="G39" s="457">
        <f>E39/D39</f>
        <v>0.42728279633195965</v>
      </c>
    </row>
    <row r="40" spans="2:16" x14ac:dyDescent="0.3">
      <c r="B40" s="210"/>
      <c r="C40" s="210"/>
      <c r="D40" s="595"/>
      <c r="E40" s="595"/>
      <c r="F40" s="595"/>
      <c r="G40" s="211"/>
    </row>
    <row r="41" spans="2:16" x14ac:dyDescent="0.3">
      <c r="D41" s="572"/>
      <c r="E41" s="572"/>
      <c r="F41" s="572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463"/>
  <sheetViews>
    <sheetView topLeftCell="A255" zoomScaleNormal="100" workbookViewId="0">
      <selection activeCell="C272" sqref="C272"/>
    </sheetView>
  </sheetViews>
  <sheetFormatPr defaultColWidth="9" defaultRowHeight="14" x14ac:dyDescent="0.3"/>
  <cols>
    <col min="1" max="1" width="10.83203125" style="25" customWidth="1"/>
    <col min="2" max="2" width="88.58203125" style="25" customWidth="1"/>
    <col min="3" max="3" width="25.83203125" style="126" customWidth="1"/>
    <col min="4" max="4" width="11.83203125" style="25" customWidth="1"/>
    <col min="5" max="5" width="16.25" style="28" customWidth="1"/>
    <col min="6" max="6" width="2.33203125" style="35" customWidth="1"/>
    <col min="7" max="7" width="9" style="25"/>
    <col min="8" max="8" width="12.58203125" style="25" customWidth="1"/>
    <col min="9" max="9" width="3.33203125" style="25" customWidth="1"/>
    <col min="10" max="10" width="74.08203125" style="25" customWidth="1"/>
    <col min="11" max="11" width="11.25" style="25" customWidth="1"/>
    <col min="12" max="16384" width="9" style="25"/>
  </cols>
  <sheetData>
    <row r="1" spans="1:84" s="34" customFormat="1" x14ac:dyDescent="0.3">
      <c r="A1" s="167" t="s">
        <v>1376</v>
      </c>
      <c r="B1" s="168" t="s">
        <v>609</v>
      </c>
      <c r="C1" s="290" t="s">
        <v>610</v>
      </c>
      <c r="D1" s="130" t="s">
        <v>1578</v>
      </c>
      <c r="E1" s="130" t="s">
        <v>1579</v>
      </c>
      <c r="F1" s="129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</row>
    <row r="2" spans="1:84" s="34" customFormat="1" ht="14.5" x14ac:dyDescent="0.35">
      <c r="A2" s="272" t="str">
        <f t="shared" ref="A2:A50" si="0">LEFT(B2,FIND(" ",B2,1))</f>
        <v xml:space="preserve">P330232 </v>
      </c>
      <c r="B2" s="315" t="s">
        <v>723</v>
      </c>
      <c r="C2" s="219">
        <v>54865</v>
      </c>
      <c r="D2" s="219">
        <v>13000</v>
      </c>
      <c r="E2" s="219">
        <f>XledgerData[[#This Row],[Column1]]+XledgerData[[#This Row],[Year to date]]</f>
        <v>67865</v>
      </c>
      <c r="F2" s="131"/>
      <c r="G2" s="28"/>
      <c r="H2" s="28"/>
      <c r="I2" s="28"/>
      <c r="J2" s="104"/>
      <c r="K2" s="1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</row>
    <row r="3" spans="1:84" ht="14.5" x14ac:dyDescent="0.35">
      <c r="A3" s="270" t="str">
        <f t="shared" si="0"/>
        <v xml:space="preserve">P330183 </v>
      </c>
      <c r="B3" s="336" t="s">
        <v>1408</v>
      </c>
      <c r="C3" s="224">
        <v>11500</v>
      </c>
      <c r="D3" s="224">
        <v>8500</v>
      </c>
      <c r="E3" s="224">
        <f>XledgerData[[#This Row],[Column1]]+XledgerData[[#This Row],[Year to date]]</f>
        <v>20000</v>
      </c>
      <c r="F3" s="131"/>
      <c r="G3" s="28"/>
      <c r="H3" s="28"/>
      <c r="I3" s="28"/>
      <c r="J3" s="163"/>
      <c r="K3" s="251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</row>
    <row r="4" spans="1:84" ht="14.5" x14ac:dyDescent="0.35">
      <c r="A4" s="157" t="str">
        <f t="shared" si="0"/>
        <v xml:space="preserve">P330272 </v>
      </c>
      <c r="B4" s="313" t="s">
        <v>738</v>
      </c>
      <c r="C4" s="175">
        <v>23000</v>
      </c>
      <c r="D4" s="175">
        <f>8000+625</f>
        <v>8625</v>
      </c>
      <c r="E4" s="175">
        <f>XledgerData[[#This Row],[Column1]]+XledgerData[[#This Row],[Year to date]]</f>
        <v>31625</v>
      </c>
      <c r="F4" s="131"/>
      <c r="G4" s="108"/>
      <c r="H4" s="25" t="s">
        <v>16</v>
      </c>
      <c r="J4" s="163"/>
      <c r="K4" s="251"/>
    </row>
    <row r="5" spans="1:84" ht="14.5" x14ac:dyDescent="0.35">
      <c r="A5" s="138" t="str">
        <f t="shared" si="0"/>
        <v xml:space="preserve">P330291 </v>
      </c>
      <c r="B5" s="288" t="s">
        <v>749</v>
      </c>
      <c r="C5" s="176">
        <v>11000</v>
      </c>
      <c r="D5" s="176">
        <v>6500</v>
      </c>
      <c r="E5" s="176">
        <f>XledgerData[[#This Row],[Column1]]+XledgerData[[#This Row],[Year to date]]</f>
        <v>17500</v>
      </c>
      <c r="F5" s="131"/>
      <c r="G5" s="109"/>
      <c r="H5" s="25" t="s">
        <v>15</v>
      </c>
      <c r="J5" s="163"/>
      <c r="K5" s="251"/>
    </row>
    <row r="6" spans="1:84" ht="14.5" x14ac:dyDescent="0.35">
      <c r="A6" s="270" t="str">
        <f t="shared" si="0"/>
        <v xml:space="preserve">P330180 </v>
      </c>
      <c r="B6" s="336" t="s">
        <v>704</v>
      </c>
      <c r="C6" s="224">
        <v>21500</v>
      </c>
      <c r="D6" s="224">
        <f>5000+3500</f>
        <v>8500</v>
      </c>
      <c r="E6" s="224">
        <f>XledgerData[[#This Row],[Column1]]+XledgerData[[#This Row],[Year to date]]</f>
        <v>30000</v>
      </c>
      <c r="F6" s="131"/>
      <c r="G6" s="110"/>
      <c r="H6" s="25" t="s">
        <v>20</v>
      </c>
      <c r="J6" s="163"/>
      <c r="K6" s="251"/>
    </row>
    <row r="7" spans="1:84" ht="14.5" x14ac:dyDescent="0.35">
      <c r="A7" s="259" t="str">
        <f t="shared" si="0"/>
        <v xml:space="preserve">P330127 </v>
      </c>
      <c r="B7" s="316" t="s">
        <v>677</v>
      </c>
      <c r="C7" s="258">
        <v>31727</v>
      </c>
      <c r="D7" s="258">
        <v>4913</v>
      </c>
      <c r="E7" s="258">
        <f>XledgerData[[#This Row],[Column1]]+XledgerData[[#This Row],[Year to date]]</f>
        <v>36640</v>
      </c>
      <c r="F7" s="131"/>
      <c r="G7" s="111"/>
      <c r="H7" s="28" t="s">
        <v>1576</v>
      </c>
      <c r="J7" s="163"/>
      <c r="K7" s="251"/>
    </row>
    <row r="8" spans="1:84" ht="14.5" x14ac:dyDescent="0.35">
      <c r="A8" s="254" t="str">
        <f t="shared" si="0"/>
        <v xml:space="preserve">P330292 </v>
      </c>
      <c r="B8" s="306" t="s">
        <v>750</v>
      </c>
      <c r="C8" s="256">
        <v>15699</v>
      </c>
      <c r="D8" s="256">
        <v>4000</v>
      </c>
      <c r="E8" s="256">
        <f>XledgerData[[#This Row],[Column1]]+XledgerData[[#This Row],[Year to date]]</f>
        <v>19699</v>
      </c>
      <c r="F8" s="131"/>
      <c r="G8" s="112"/>
      <c r="H8" s="28" t="s">
        <v>13</v>
      </c>
      <c r="J8" s="163"/>
      <c r="K8" s="251"/>
    </row>
    <row r="9" spans="1:84" ht="14.5" x14ac:dyDescent="0.35">
      <c r="A9" s="236" t="str">
        <f t="shared" si="0"/>
        <v xml:space="preserve">P330010 </v>
      </c>
      <c r="B9" s="337" t="s">
        <v>1388</v>
      </c>
      <c r="C9" s="238">
        <v>9485</v>
      </c>
      <c r="D9" s="238">
        <v>3000</v>
      </c>
      <c r="E9" s="238">
        <f>XledgerData[[#This Row],[Column1]]+XledgerData[[#This Row],[Year to date]]</f>
        <v>12485</v>
      </c>
      <c r="F9" s="131"/>
      <c r="G9" s="113"/>
      <c r="H9" s="28" t="s">
        <v>6</v>
      </c>
      <c r="J9" s="163"/>
      <c r="K9" s="251"/>
    </row>
    <row r="10" spans="1:84" ht="14.5" x14ac:dyDescent="0.35">
      <c r="A10" s="305" t="str">
        <f t="shared" si="0"/>
        <v xml:space="preserve">P330286 </v>
      </c>
      <c r="B10" s="306" t="s">
        <v>746</v>
      </c>
      <c r="C10" s="256">
        <v>54000</v>
      </c>
      <c r="D10" s="256">
        <v>2588</v>
      </c>
      <c r="E10" s="256">
        <f>XledgerData[[#This Row],[Column1]]+XledgerData[[#This Row],[Year to date]]</f>
        <v>56588</v>
      </c>
      <c r="F10" s="131"/>
      <c r="G10" s="154"/>
      <c r="H10" s="28" t="s">
        <v>17</v>
      </c>
      <c r="J10" s="163"/>
      <c r="K10" s="251"/>
    </row>
    <row r="11" spans="1:84" ht="14.5" x14ac:dyDescent="0.35">
      <c r="A11" s="264" t="str">
        <f t="shared" si="0"/>
        <v xml:space="preserve">P330212 </v>
      </c>
      <c r="B11" s="312" t="s">
        <v>1609</v>
      </c>
      <c r="C11" s="266">
        <v>0</v>
      </c>
      <c r="D11" s="266">
        <v>2410</v>
      </c>
      <c r="E11" s="266">
        <f>XledgerData[[#This Row],[Column1]]+XledgerData[[#This Row],[Year to date]]</f>
        <v>2410</v>
      </c>
      <c r="F11" s="131"/>
      <c r="G11" s="115"/>
      <c r="H11" s="28" t="s">
        <v>19</v>
      </c>
      <c r="J11" s="163"/>
      <c r="K11" s="251"/>
    </row>
    <row r="12" spans="1:84" ht="14.5" x14ac:dyDescent="0.35">
      <c r="A12" s="263" t="str">
        <f t="shared" si="0"/>
        <v xml:space="preserve">P330100 </v>
      </c>
      <c r="B12" s="307" t="s">
        <v>660</v>
      </c>
      <c r="C12" s="222">
        <v>7100</v>
      </c>
      <c r="D12" s="222">
        <v>2252</v>
      </c>
      <c r="E12" s="222">
        <f>XledgerData[[#This Row],[Column1]]+XledgerData[[#This Row],[Year to date]]</f>
        <v>9352</v>
      </c>
      <c r="F12" s="131"/>
      <c r="G12" s="116"/>
      <c r="H12" s="28" t="s">
        <v>21</v>
      </c>
      <c r="J12" s="163"/>
      <c r="K12" s="251"/>
    </row>
    <row r="13" spans="1:84" ht="14.5" x14ac:dyDescent="0.35">
      <c r="A13" s="299" t="str">
        <f t="shared" si="0"/>
        <v xml:space="preserve">P330467 </v>
      </c>
      <c r="B13" s="304" t="s">
        <v>823</v>
      </c>
      <c r="C13" s="235">
        <v>5497</v>
      </c>
      <c r="D13" s="235">
        <v>2157</v>
      </c>
      <c r="E13" s="235">
        <f>XledgerData[[#This Row],[Column1]]+XledgerData[[#This Row],[Year to date]]</f>
        <v>7654</v>
      </c>
      <c r="F13" s="131"/>
      <c r="G13" s="117"/>
      <c r="H13" s="28" t="s">
        <v>11</v>
      </c>
      <c r="J13" s="28"/>
      <c r="K13" s="162"/>
    </row>
    <row r="14" spans="1:84" s="28" customFormat="1" ht="14.5" x14ac:dyDescent="0.35">
      <c r="A14" s="264" t="str">
        <f t="shared" si="0"/>
        <v xml:space="preserve">P330196 </v>
      </c>
      <c r="B14" s="312" t="s">
        <v>1471</v>
      </c>
      <c r="C14" s="266">
        <v>6375</v>
      </c>
      <c r="D14" s="266">
        <v>2125</v>
      </c>
      <c r="E14" s="266">
        <f>XledgerData[[#This Row],[Column1]]+XledgerData[[#This Row],[Year to date]]</f>
        <v>8500</v>
      </c>
      <c r="F14" s="131"/>
      <c r="G14" s="118"/>
      <c r="H14" s="28" t="s">
        <v>8</v>
      </c>
      <c r="J14" s="163"/>
      <c r="K14" s="251"/>
    </row>
    <row r="15" spans="1:84" ht="14.5" x14ac:dyDescent="0.35">
      <c r="A15" s="111" t="str">
        <f t="shared" si="0"/>
        <v xml:space="preserve">P330361 </v>
      </c>
      <c r="B15" s="289" t="s">
        <v>1584</v>
      </c>
      <c r="C15" s="178">
        <v>2500</v>
      </c>
      <c r="D15" s="178">
        <f>2000+2000</f>
        <v>4000</v>
      </c>
      <c r="E15" s="178">
        <f>XledgerData[[#This Row],[Column1]]+XledgerData[[#This Row],[Year to date]]</f>
        <v>6500</v>
      </c>
      <c r="F15" s="131"/>
      <c r="G15" s="119"/>
      <c r="H15" s="28" t="s">
        <v>5</v>
      </c>
      <c r="J15" s="163"/>
      <c r="K15" s="251"/>
    </row>
    <row r="16" spans="1:84" ht="14.5" x14ac:dyDescent="0.35">
      <c r="A16" s="165" t="str">
        <f t="shared" si="0"/>
        <v xml:space="preserve">P330214 </v>
      </c>
      <c r="B16" s="303" t="s">
        <v>714</v>
      </c>
      <c r="C16" s="172">
        <v>9000</v>
      </c>
      <c r="D16" s="172">
        <v>2000</v>
      </c>
      <c r="E16" s="172">
        <f>XledgerData[[#This Row],[Column1]]+XledgerData[[#This Row],[Year to date]]</f>
        <v>11000</v>
      </c>
      <c r="F16" s="131"/>
      <c r="G16" s="120"/>
      <c r="H16" s="28" t="s">
        <v>18</v>
      </c>
      <c r="J16" s="163"/>
      <c r="K16" s="251"/>
    </row>
    <row r="17" spans="1:11" ht="14.5" x14ac:dyDescent="0.35">
      <c r="A17" s="232" t="str">
        <f t="shared" si="0"/>
        <v xml:space="preserve">P330365 </v>
      </c>
      <c r="B17" s="338" t="s">
        <v>1482</v>
      </c>
      <c r="C17" s="234">
        <v>12436</v>
      </c>
      <c r="D17" s="234">
        <v>2000</v>
      </c>
      <c r="E17" s="234">
        <f>XledgerData[[#This Row],[Column1]]+XledgerData[[#This Row],[Year to date]]</f>
        <v>14436</v>
      </c>
      <c r="F17" s="131"/>
      <c r="G17" s="121"/>
      <c r="H17" s="28" t="s">
        <v>9</v>
      </c>
      <c r="J17" s="163"/>
      <c r="K17" s="251"/>
    </row>
    <row r="18" spans="1:11" ht="14.5" x14ac:dyDescent="0.35">
      <c r="A18" s="264" t="str">
        <f t="shared" si="0"/>
        <v xml:space="preserve">P330123 </v>
      </c>
      <c r="B18" s="312" t="s">
        <v>1568</v>
      </c>
      <c r="C18" s="266">
        <v>5888</v>
      </c>
      <c r="D18" s="266">
        <v>1963</v>
      </c>
      <c r="E18" s="266">
        <f>XledgerData[[#This Row],[Column1]]+XledgerData[[#This Row],[Year to date]]</f>
        <v>7851</v>
      </c>
      <c r="F18" s="131"/>
      <c r="G18" s="123"/>
      <c r="H18" s="28" t="s">
        <v>23</v>
      </c>
      <c r="J18" s="163"/>
      <c r="K18" s="251"/>
    </row>
    <row r="19" spans="1:11" ht="14.5" x14ac:dyDescent="0.35">
      <c r="A19" s="140" t="str">
        <f t="shared" si="0"/>
        <v xml:space="preserve">P330306 </v>
      </c>
      <c r="B19" s="310" t="s">
        <v>754</v>
      </c>
      <c r="C19" s="177">
        <v>11000</v>
      </c>
      <c r="D19" s="177">
        <v>1000</v>
      </c>
      <c r="E19" s="177">
        <f>XledgerData[[#This Row],[Column1]]+XledgerData[[#This Row],[Year to date]]</f>
        <v>12000</v>
      </c>
      <c r="F19" s="131"/>
      <c r="G19" s="122"/>
      <c r="H19" s="28" t="s">
        <v>7</v>
      </c>
      <c r="J19" s="163"/>
      <c r="K19" s="251"/>
    </row>
    <row r="20" spans="1:11" ht="14.5" x14ac:dyDescent="0.35">
      <c r="A20" s="232" t="str">
        <f t="shared" si="0"/>
        <v xml:space="preserve">P330354 </v>
      </c>
      <c r="B20" s="338" t="s">
        <v>1574</v>
      </c>
      <c r="C20" s="234">
        <v>4000</v>
      </c>
      <c r="D20" s="234">
        <f>893+34</f>
        <v>927</v>
      </c>
      <c r="E20" s="234">
        <f>XledgerData[[#This Row],[Column1]]+XledgerData[[#This Row],[Year to date]]</f>
        <v>4927</v>
      </c>
      <c r="F20" s="131"/>
      <c r="G20" s="124"/>
      <c r="H20" s="28" t="s">
        <v>10</v>
      </c>
      <c r="J20" s="163"/>
      <c r="K20" s="251"/>
    </row>
    <row r="21" spans="1:11" ht="14.5" x14ac:dyDescent="0.35">
      <c r="A21" s="264" t="str">
        <f t="shared" si="0"/>
        <v xml:space="preserve">P330216 </v>
      </c>
      <c r="B21" s="312" t="s">
        <v>1418</v>
      </c>
      <c r="C21" s="266">
        <v>17000</v>
      </c>
      <c r="D21" s="266">
        <f>800+271</f>
        <v>1071</v>
      </c>
      <c r="E21" s="266">
        <f>XledgerData[[#This Row],[Column1]]+XledgerData[[#This Row],[Year to date]]</f>
        <v>18071</v>
      </c>
      <c r="F21" s="131"/>
      <c r="G21" s="125"/>
      <c r="H21" s="28" t="s">
        <v>12</v>
      </c>
      <c r="J21" s="163"/>
      <c r="K21" s="251"/>
    </row>
    <row r="22" spans="1:11" ht="14.5" x14ac:dyDescent="0.35">
      <c r="A22" s="108" t="str">
        <f t="shared" si="0"/>
        <v xml:space="preserve">P330409 </v>
      </c>
      <c r="B22" s="314" t="s">
        <v>1528</v>
      </c>
      <c r="C22" s="179">
        <v>1750</v>
      </c>
      <c r="D22" s="317">
        <v>600</v>
      </c>
      <c r="E22" s="318">
        <f>XledgerData[[#This Row],[Column1]]+XledgerData[[#This Row],[Year to date]]</f>
        <v>2350</v>
      </c>
      <c r="F22" s="131"/>
      <c r="J22" s="163"/>
      <c r="K22" s="251"/>
    </row>
    <row r="23" spans="1:11" ht="14.5" x14ac:dyDescent="0.35">
      <c r="A23" s="239" t="str">
        <f t="shared" si="0"/>
        <v xml:space="preserve">P330444 </v>
      </c>
      <c r="B23" s="309" t="s">
        <v>807</v>
      </c>
      <c r="C23" s="241">
        <v>5513</v>
      </c>
      <c r="D23" s="241">
        <f>501</f>
        <v>501</v>
      </c>
      <c r="E23" s="241">
        <f>XledgerData[[#This Row],[Column1]]+XledgerData[[#This Row],[Year to date]]</f>
        <v>6014</v>
      </c>
      <c r="F23" s="131"/>
      <c r="J23" s="28"/>
      <c r="K23" s="162"/>
    </row>
    <row r="24" spans="1:11" ht="14.5" x14ac:dyDescent="0.35">
      <c r="A24" s="326" t="str">
        <f t="shared" si="0"/>
        <v xml:space="preserve">P330252 </v>
      </c>
      <c r="B24" s="313" t="s">
        <v>1424</v>
      </c>
      <c r="C24" s="175">
        <v>7500</v>
      </c>
      <c r="D24" s="175">
        <f>500+500</f>
        <v>1000</v>
      </c>
      <c r="E24" s="175">
        <f>XledgerData[[#This Row],[Column1]]+XledgerData[[#This Row],[Year to date]]</f>
        <v>8500</v>
      </c>
      <c r="F24" s="131"/>
      <c r="J24" s="163"/>
      <c r="K24" s="251"/>
    </row>
    <row r="25" spans="1:11" ht="14.5" x14ac:dyDescent="0.35">
      <c r="A25" s="319" t="str">
        <f t="shared" si="0"/>
        <v xml:space="preserve">B023 </v>
      </c>
      <c r="B25" s="334" t="s">
        <v>1610</v>
      </c>
      <c r="C25" s="320">
        <v>0</v>
      </c>
      <c r="D25" s="320">
        <v>500</v>
      </c>
      <c r="E25" s="320">
        <f>XledgerData[[#This Row],[Column1]]+XledgerData[[#This Row],[Year to date]]</f>
        <v>500</v>
      </c>
      <c r="F25" s="144"/>
      <c r="J25" s="163"/>
      <c r="K25" s="251"/>
    </row>
    <row r="26" spans="1:11" ht="14.5" x14ac:dyDescent="0.35">
      <c r="A26" s="331" t="str">
        <f t="shared" si="0"/>
        <v xml:space="preserve">P330079 </v>
      </c>
      <c r="B26" s="278" t="s">
        <v>652</v>
      </c>
      <c r="C26" s="279">
        <v>82040</v>
      </c>
      <c r="D26" s="279"/>
      <c r="E26" s="279">
        <f>XledgerData[[#This Row],[Column1]]+XledgerData[[#This Row],[Year to date]]</f>
        <v>82040</v>
      </c>
      <c r="F26" s="144"/>
      <c r="J26" s="163"/>
      <c r="K26" s="251"/>
    </row>
    <row r="27" spans="1:11" ht="14.5" x14ac:dyDescent="0.35">
      <c r="A27" s="323" t="str">
        <f t="shared" si="0"/>
        <v xml:space="preserve">P330034 </v>
      </c>
      <c r="B27" s="193" t="s">
        <v>1392</v>
      </c>
      <c r="C27" s="184">
        <v>63590</v>
      </c>
      <c r="D27" s="184"/>
      <c r="E27" s="184">
        <f>XledgerData[[#This Row],[Column1]]+XledgerData[[#This Row],[Year to date]]</f>
        <v>63590</v>
      </c>
      <c r="F27" s="131"/>
      <c r="J27" s="163"/>
      <c r="K27" s="251"/>
    </row>
    <row r="28" spans="1:11" ht="14.5" x14ac:dyDescent="0.35">
      <c r="A28" s="325" t="str">
        <f t="shared" si="0"/>
        <v xml:space="preserve">P330087 </v>
      </c>
      <c r="B28" s="206" t="s">
        <v>1461</v>
      </c>
      <c r="C28" s="183">
        <v>57980</v>
      </c>
      <c r="D28" s="279"/>
      <c r="E28" s="279">
        <f>XledgerData[[#This Row],[Column1]]+XledgerData[[#This Row],[Year to date]]</f>
        <v>57980</v>
      </c>
      <c r="F28" s="131"/>
      <c r="J28" s="163"/>
      <c r="K28" s="251"/>
    </row>
    <row r="29" spans="1:11" ht="14.5" x14ac:dyDescent="0.35">
      <c r="A29" s="333" t="str">
        <f t="shared" si="0"/>
        <v xml:space="preserve">P330459 </v>
      </c>
      <c r="B29" s="208" t="s">
        <v>816</v>
      </c>
      <c r="C29" s="181">
        <v>52203</v>
      </c>
      <c r="D29" s="241"/>
      <c r="E29" s="241">
        <f>XledgerData[[#This Row],[Column1]]+XledgerData[[#This Row],[Year to date]]</f>
        <v>52203</v>
      </c>
      <c r="F29" s="131"/>
      <c r="J29" s="163"/>
      <c r="K29" s="251"/>
    </row>
    <row r="30" spans="1:11" ht="14.5" x14ac:dyDescent="0.35">
      <c r="A30" s="267" t="str">
        <f t="shared" si="0"/>
        <v xml:space="preserve">P330053 </v>
      </c>
      <c r="B30" s="230" t="s">
        <v>639</v>
      </c>
      <c r="C30" s="231">
        <v>48630</v>
      </c>
      <c r="D30" s="231"/>
      <c r="E30" s="231">
        <f>XledgerData[[#This Row],[Column1]]+XledgerData[[#This Row],[Year to date]]</f>
        <v>48630</v>
      </c>
      <c r="F30" s="131"/>
      <c r="J30" s="163"/>
      <c r="K30" s="251"/>
    </row>
    <row r="31" spans="1:11" ht="14.5" x14ac:dyDescent="0.35">
      <c r="A31" s="158" t="str">
        <f t="shared" si="0"/>
        <v xml:space="preserve">P330237 </v>
      </c>
      <c r="B31" s="205" t="s">
        <v>1550</v>
      </c>
      <c r="C31" s="174">
        <v>18958</v>
      </c>
      <c r="D31" s="219"/>
      <c r="E31" s="219">
        <f>XledgerData[[#This Row],[Column1]]+XledgerData[[#This Row],[Year to date]]</f>
        <v>18958</v>
      </c>
      <c r="F31" s="144"/>
      <c r="J31" s="163"/>
      <c r="K31" s="251"/>
    </row>
    <row r="32" spans="1:11" ht="14.5" x14ac:dyDescent="0.35">
      <c r="A32" s="218" t="str">
        <f t="shared" si="0"/>
        <v xml:space="preserve">P330239 </v>
      </c>
      <c r="B32" s="229" t="s">
        <v>726</v>
      </c>
      <c r="C32" s="219">
        <v>64861</v>
      </c>
      <c r="D32" s="219"/>
      <c r="E32" s="219">
        <f>XledgerData[[#This Row],[Column1]]+XledgerData[[#This Row],[Year to date]]</f>
        <v>64861</v>
      </c>
      <c r="F32" s="131"/>
      <c r="J32" s="163"/>
      <c r="K32" s="251"/>
    </row>
    <row r="33" spans="1:11" s="28" customFormat="1" ht="14.5" x14ac:dyDescent="0.35">
      <c r="A33" s="220" t="str">
        <f>LEFT(B33,FIND(" ",B33,1))</f>
        <v xml:space="preserve">P330169 </v>
      </c>
      <c r="B33" s="228" t="s">
        <v>1613</v>
      </c>
      <c r="C33" s="221">
        <v>0</v>
      </c>
      <c r="D33" s="221">
        <v>630</v>
      </c>
      <c r="E33" s="221">
        <f>XledgerData[[#This Row],[Column1]]+XledgerData[[#This Row],[Year to date]]</f>
        <v>630</v>
      </c>
      <c r="F33" s="131"/>
      <c r="J33" s="163"/>
      <c r="K33" s="251"/>
    </row>
    <row r="34" spans="1:11" ht="14.5" x14ac:dyDescent="0.35">
      <c r="A34" s="137" t="str">
        <f t="shared" si="0"/>
        <v xml:space="preserve">P330171 </v>
      </c>
      <c r="B34" s="195" t="s">
        <v>701</v>
      </c>
      <c r="C34" s="173">
        <f>78572-999</f>
        <v>77573</v>
      </c>
      <c r="D34" s="221"/>
      <c r="E34" s="221">
        <f>XledgerData[[#This Row],[Column1]]+XledgerData[[#This Row],[Year to date]]</f>
        <v>77573</v>
      </c>
      <c r="F34" s="131"/>
      <c r="J34" s="163"/>
      <c r="K34" s="251"/>
    </row>
    <row r="35" spans="1:11" ht="14.5" x14ac:dyDescent="0.35">
      <c r="A35" s="253" t="str">
        <f t="shared" si="0"/>
        <v xml:space="preserve">P330175 </v>
      </c>
      <c r="B35" s="223" t="s">
        <v>702</v>
      </c>
      <c r="C35" s="224">
        <v>30673</v>
      </c>
      <c r="D35" s="224"/>
      <c r="E35" s="224">
        <f>XledgerData[[#This Row],[Column1]]+XledgerData[[#This Row],[Year to date]]</f>
        <v>30673</v>
      </c>
      <c r="F35" s="131"/>
      <c r="J35" s="163"/>
      <c r="K35" s="251"/>
    </row>
    <row r="36" spans="1:11" ht="14.5" x14ac:dyDescent="0.35">
      <c r="A36" s="254" t="str">
        <f t="shared" si="0"/>
        <v xml:space="preserve">P330282 </v>
      </c>
      <c r="B36" s="255" t="s">
        <v>1430</v>
      </c>
      <c r="C36" s="256">
        <v>19698</v>
      </c>
      <c r="D36" s="256"/>
      <c r="E36" s="256">
        <f>XledgerData[[#This Row],[Column1]]+XledgerData[[#This Row],[Year to date]]</f>
        <v>19698</v>
      </c>
      <c r="F36" s="131"/>
      <c r="J36" s="163"/>
      <c r="K36" s="162"/>
    </row>
    <row r="37" spans="1:11" ht="14.5" x14ac:dyDescent="0.35">
      <c r="A37" s="158" t="str">
        <f t="shared" si="0"/>
        <v xml:space="preserve">P330224 </v>
      </c>
      <c r="B37" s="205" t="s">
        <v>1549</v>
      </c>
      <c r="C37" s="174">
        <v>23000</v>
      </c>
      <c r="D37" s="174"/>
      <c r="E37" s="174">
        <f>XledgerData[[#This Row],[Column1]]+XledgerData[[#This Row],[Year to date]]</f>
        <v>23000</v>
      </c>
      <c r="F37" s="144"/>
      <c r="J37" s="163"/>
      <c r="K37" s="251"/>
    </row>
    <row r="38" spans="1:11" ht="14.5" x14ac:dyDescent="0.35">
      <c r="A38" s="232" t="str">
        <f t="shared" si="0"/>
        <v xml:space="preserve">P330372 </v>
      </c>
      <c r="B38" s="233" t="s">
        <v>1484</v>
      </c>
      <c r="C38" s="234">
        <v>25000</v>
      </c>
      <c r="D38" s="234">
        <v>2576</v>
      </c>
      <c r="E38" s="234">
        <f>XledgerData[[#This Row],[Column1]]+XledgerData[[#This Row],[Year to date]]</f>
        <v>27576</v>
      </c>
      <c r="F38" s="131"/>
      <c r="J38" s="163"/>
      <c r="K38" s="251"/>
    </row>
    <row r="39" spans="1:11" ht="14.5" x14ac:dyDescent="0.35">
      <c r="A39" s="330" t="str">
        <f t="shared" si="0"/>
        <v xml:space="preserve">P330089 </v>
      </c>
      <c r="B39" s="206" t="s">
        <v>1381</v>
      </c>
      <c r="C39" s="183">
        <v>84900</v>
      </c>
      <c r="D39" s="183"/>
      <c r="E39" s="183">
        <f>XledgerData[[#This Row],[Column1]]+XledgerData[[#This Row],[Year to date]]</f>
        <v>84900</v>
      </c>
      <c r="F39" s="131"/>
      <c r="J39" s="163"/>
      <c r="K39" s="251"/>
    </row>
    <row r="40" spans="1:11" ht="14.5" x14ac:dyDescent="0.35">
      <c r="A40" s="166" t="str">
        <f t="shared" si="0"/>
        <v xml:space="preserve">P330320 </v>
      </c>
      <c r="B40" s="217" t="s">
        <v>761</v>
      </c>
      <c r="C40" s="268">
        <v>40552</v>
      </c>
      <c r="D40" s="268"/>
      <c r="E40" s="268">
        <f>XledgerData[[#This Row],[Column1]]+XledgerData[[#This Row],[Year to date]]</f>
        <v>40552</v>
      </c>
      <c r="F40" s="131"/>
      <c r="J40" s="163"/>
      <c r="K40" s="251"/>
    </row>
    <row r="41" spans="1:11" ht="14.5" x14ac:dyDescent="0.35">
      <c r="A41" s="280" t="str">
        <f t="shared" si="0"/>
        <v xml:space="preserve">P330219 </v>
      </c>
      <c r="B41" s="217" t="s">
        <v>716</v>
      </c>
      <c r="C41" s="268">
        <v>35000</v>
      </c>
      <c r="D41" s="268"/>
      <c r="E41" s="268">
        <f>XledgerData[[#This Row],[Column1]]+XledgerData[[#This Row],[Year to date]]</f>
        <v>35000</v>
      </c>
      <c r="F41" s="131"/>
      <c r="J41" s="163"/>
      <c r="K41" s="251"/>
    </row>
    <row r="42" spans="1:11" ht="14.5" x14ac:dyDescent="0.35">
      <c r="A42" s="143" t="str">
        <f t="shared" si="0"/>
        <v xml:space="preserve">P330337 </v>
      </c>
      <c r="B42" s="199" t="s">
        <v>1436</v>
      </c>
      <c r="C42" s="178">
        <v>12500</v>
      </c>
      <c r="D42" s="178"/>
      <c r="E42" s="178">
        <f>XledgerData[[#This Row],[Column1]]+XledgerData[[#This Row],[Year to date]]</f>
        <v>12500</v>
      </c>
      <c r="F42" s="144"/>
      <c r="J42" s="163"/>
      <c r="K42" s="251"/>
    </row>
    <row r="43" spans="1:11" ht="14.5" x14ac:dyDescent="0.35">
      <c r="A43" s="137" t="str">
        <f t="shared" si="0"/>
        <v xml:space="preserve">P330170 </v>
      </c>
      <c r="B43" s="195" t="s">
        <v>700</v>
      </c>
      <c r="C43" s="173">
        <v>76234</v>
      </c>
      <c r="D43" s="221"/>
      <c r="E43" s="221">
        <f>XledgerData[[#This Row],[Column1]]+XledgerData[[#This Row],[Year to date]]</f>
        <v>76234</v>
      </c>
      <c r="F43" s="131"/>
      <c r="G43" s="28"/>
      <c r="J43" s="163"/>
      <c r="K43" s="162"/>
    </row>
    <row r="44" spans="1:11" ht="14.5" x14ac:dyDescent="0.35">
      <c r="A44" s="132" t="str">
        <f t="shared" si="0"/>
        <v xml:space="preserve">P330114 </v>
      </c>
      <c r="B44" s="194" t="s">
        <v>1398</v>
      </c>
      <c r="C44" s="170">
        <v>20021</v>
      </c>
      <c r="D44" s="222"/>
      <c r="E44" s="222">
        <f>XledgerData[[#This Row],[Column1]]+XledgerData[[#This Row],[Year to date]]</f>
        <v>20021</v>
      </c>
      <c r="F44" s="131"/>
      <c r="J44" s="163"/>
      <c r="K44" s="251"/>
    </row>
    <row r="45" spans="1:11" ht="14.5" x14ac:dyDescent="0.35">
      <c r="A45" s="111" t="str">
        <f t="shared" si="0"/>
        <v xml:space="preserve">P330338 </v>
      </c>
      <c r="B45" s="199" t="s">
        <v>766</v>
      </c>
      <c r="C45" s="178">
        <v>67000</v>
      </c>
      <c r="D45" s="234"/>
      <c r="E45" s="234">
        <f>XledgerData[[#This Row],[Column1]]+XledgerData[[#This Row],[Year to date]]</f>
        <v>67000</v>
      </c>
      <c r="F45" s="131"/>
      <c r="J45" s="163"/>
      <c r="K45" s="251"/>
    </row>
    <row r="46" spans="1:11" ht="14.5" x14ac:dyDescent="0.35">
      <c r="A46" s="225" t="str">
        <f t="shared" si="0"/>
        <v xml:space="preserve">P330036 </v>
      </c>
      <c r="B46" s="193" t="s">
        <v>628</v>
      </c>
      <c r="C46" s="184">
        <v>72438</v>
      </c>
      <c r="D46" s="227"/>
      <c r="E46" s="227">
        <f>XledgerData[[#This Row],[Column1]]+XledgerData[[#This Row],[Year to date]]</f>
        <v>72438</v>
      </c>
      <c r="F46" s="131"/>
      <c r="J46" s="163"/>
      <c r="K46" s="251"/>
    </row>
    <row r="47" spans="1:11" ht="14.5" x14ac:dyDescent="0.35">
      <c r="A47" s="259" t="str">
        <f t="shared" si="0"/>
        <v xml:space="preserve">P330133 </v>
      </c>
      <c r="B47" s="192" t="s">
        <v>681</v>
      </c>
      <c r="C47" s="171">
        <v>72892</v>
      </c>
      <c r="D47" s="258"/>
      <c r="E47" s="258">
        <f>XledgerData[[#This Row],[Column1]]+XledgerData[[#This Row],[Year to date]]</f>
        <v>72892</v>
      </c>
      <c r="F47" s="131"/>
      <c r="J47" s="163"/>
      <c r="K47" s="251"/>
    </row>
    <row r="48" spans="1:11" ht="14.5" x14ac:dyDescent="0.35">
      <c r="A48" s="242" t="str">
        <f t="shared" si="0"/>
        <v xml:space="preserve">P330416 </v>
      </c>
      <c r="B48" s="204" t="s">
        <v>794</v>
      </c>
      <c r="C48" s="180">
        <v>28399</v>
      </c>
      <c r="D48" s="244"/>
      <c r="E48" s="244">
        <f>XledgerData[[#This Row],[Column1]]+XledgerData[[#This Row],[Year to date]]</f>
        <v>28399</v>
      </c>
      <c r="F48" s="131"/>
      <c r="J48" s="163"/>
      <c r="K48" s="251"/>
    </row>
    <row r="49" spans="1:12" ht="14.5" x14ac:dyDescent="0.35">
      <c r="A49" s="160" t="str">
        <f t="shared" si="0"/>
        <v xml:space="preserve">P330370 </v>
      </c>
      <c r="B49" s="204" t="s">
        <v>772</v>
      </c>
      <c r="C49" s="180">
        <v>8919</v>
      </c>
      <c r="D49" s="244"/>
      <c r="E49" s="244">
        <f>XledgerData[[#This Row],[Column1]]+XledgerData[[#This Row],[Year to date]]</f>
        <v>8919</v>
      </c>
      <c r="F49" s="131"/>
      <c r="J49" s="163"/>
      <c r="K49" s="251"/>
    </row>
    <row r="50" spans="1:12" ht="14.5" x14ac:dyDescent="0.35">
      <c r="A50" s="138" t="str">
        <f t="shared" si="0"/>
        <v xml:space="preserve">P330303 </v>
      </c>
      <c r="B50" s="198" t="s">
        <v>753</v>
      </c>
      <c r="C50" s="176">
        <v>66769</v>
      </c>
      <c r="D50" s="256"/>
      <c r="E50" s="256">
        <f>XledgerData[[#This Row],[Column1]]+XledgerData[[#This Row],[Year to date]]</f>
        <v>66769</v>
      </c>
      <c r="F50" s="131"/>
      <c r="J50" s="163"/>
      <c r="K50" s="251"/>
    </row>
    <row r="51" spans="1:12" ht="14.5" x14ac:dyDescent="0.35">
      <c r="A51" s="284" t="s">
        <v>1154</v>
      </c>
      <c r="B51" s="278" t="s">
        <v>1397</v>
      </c>
      <c r="C51" s="279">
        <v>66458</v>
      </c>
      <c r="D51" s="279"/>
      <c r="E51" s="279">
        <f>XledgerData[[#This Row],[Column1]]+XledgerData[[#This Row],[Year to date]]</f>
        <v>66458</v>
      </c>
      <c r="F51" s="144"/>
      <c r="J51" s="163"/>
      <c r="K51" s="251"/>
    </row>
    <row r="52" spans="1:12" ht="14.5" x14ac:dyDescent="0.35">
      <c r="A52" s="137" t="str">
        <f t="shared" ref="A52:A115" si="1">LEFT(B52,FIND(" ",B52,1))</f>
        <v xml:space="preserve">P330153 </v>
      </c>
      <c r="B52" s="228" t="s">
        <v>1547</v>
      </c>
      <c r="C52" s="221">
        <v>10740</v>
      </c>
      <c r="D52" s="221"/>
      <c r="E52" s="221">
        <f>XledgerData[[#This Row],[Column1]]+XledgerData[[#This Row],[Year to date]]</f>
        <v>10740</v>
      </c>
      <c r="F52" s="144"/>
      <c r="J52" s="163"/>
      <c r="K52" s="251"/>
    </row>
    <row r="53" spans="1:12" ht="14.5" x14ac:dyDescent="0.35">
      <c r="A53" s="263" t="str">
        <f t="shared" si="1"/>
        <v xml:space="preserve">P330113 </v>
      </c>
      <c r="B53" s="252" t="s">
        <v>668</v>
      </c>
      <c r="C53" s="222">
        <v>17739</v>
      </c>
      <c r="D53" s="222"/>
      <c r="E53" s="222">
        <f>XledgerData[[#This Row],[Column1]]+XledgerData[[#This Row],[Year to date]]</f>
        <v>17739</v>
      </c>
      <c r="F53" s="131"/>
      <c r="J53" s="163"/>
      <c r="K53" s="251"/>
    </row>
    <row r="54" spans="1:12" ht="14.5" x14ac:dyDescent="0.35">
      <c r="A54" s="263" t="str">
        <f t="shared" si="1"/>
        <v xml:space="preserve">P330103 </v>
      </c>
      <c r="B54" s="252" t="s">
        <v>1597</v>
      </c>
      <c r="C54" s="222">
        <v>8716</v>
      </c>
      <c r="D54" s="222"/>
      <c r="E54" s="222">
        <f>XledgerData[[#This Row],[Column1]]+XledgerData[[#This Row],[Year to date]]</f>
        <v>8716</v>
      </c>
      <c r="F54" s="131"/>
      <c r="J54" s="163"/>
      <c r="K54" s="251"/>
    </row>
    <row r="55" spans="1:12" ht="14.5" x14ac:dyDescent="0.35">
      <c r="A55" s="160" t="str">
        <f t="shared" si="1"/>
        <v xml:space="preserve">P330423 </v>
      </c>
      <c r="B55" s="204" t="s">
        <v>1491</v>
      </c>
      <c r="C55" s="180">
        <v>7000</v>
      </c>
      <c r="D55" s="180"/>
      <c r="E55" s="180">
        <f>XledgerData[[#This Row],[Column1]]+XledgerData[[#This Row],[Year to date]]</f>
        <v>7000</v>
      </c>
      <c r="F55" s="131"/>
      <c r="J55" s="163"/>
      <c r="K55" s="251"/>
    </row>
    <row r="56" spans="1:12" ht="14.5" x14ac:dyDescent="0.35">
      <c r="A56" s="143" t="str">
        <f t="shared" si="1"/>
        <v xml:space="preserve">P330340 </v>
      </c>
      <c r="B56" s="199" t="s">
        <v>1437</v>
      </c>
      <c r="C56" s="178">
        <v>19000</v>
      </c>
      <c r="D56" s="178"/>
      <c r="E56" s="178">
        <f>XledgerData[[#This Row],[Column1]]+XledgerData[[#This Row],[Year to date]]</f>
        <v>19000</v>
      </c>
      <c r="F56" s="144"/>
      <c r="J56" s="163"/>
      <c r="K56" s="251"/>
    </row>
    <row r="57" spans="1:12" ht="14.5" x14ac:dyDescent="0.35">
      <c r="A57" s="140" t="str">
        <f t="shared" si="1"/>
        <v xml:space="preserve">P330494 </v>
      </c>
      <c r="B57" s="207" t="s">
        <v>1454</v>
      </c>
      <c r="C57" s="177">
        <v>56400</v>
      </c>
      <c r="D57" s="177"/>
      <c r="E57" s="177">
        <f>XledgerData[[#This Row],[Column1]]+XledgerData[[#This Row],[Year to date]]</f>
        <v>56400</v>
      </c>
      <c r="F57" s="131"/>
      <c r="J57" s="28"/>
      <c r="K57" s="162"/>
    </row>
    <row r="58" spans="1:12" ht="14.5" x14ac:dyDescent="0.35">
      <c r="A58" s="125" t="str">
        <f t="shared" si="1"/>
        <v xml:space="preserve">P330283 </v>
      </c>
      <c r="B58" s="255" t="s">
        <v>1573</v>
      </c>
      <c r="C58" s="256">
        <v>11268</v>
      </c>
      <c r="D58" s="256"/>
      <c r="E58" s="256">
        <f>XledgerData[[#This Row],[Column1]]+XledgerData[[#This Row],[Year to date]]</f>
        <v>11268</v>
      </c>
      <c r="F58" s="131"/>
      <c r="J58" s="163"/>
      <c r="K58" s="251"/>
    </row>
    <row r="59" spans="1:12" ht="14.5" x14ac:dyDescent="0.35">
      <c r="A59" s="136" t="str">
        <f t="shared" si="1"/>
        <v xml:space="preserve">P330080 </v>
      </c>
      <c r="B59" s="206" t="s">
        <v>653</v>
      </c>
      <c r="C59" s="183">
        <v>25000</v>
      </c>
      <c r="D59" s="183"/>
      <c r="E59" s="183">
        <f>XledgerData[[#This Row],[Column1]]+XledgerData[[#This Row],[Year to date]]</f>
        <v>25000</v>
      </c>
      <c r="F59" s="131"/>
      <c r="J59" s="163"/>
      <c r="K59" s="251"/>
    </row>
    <row r="60" spans="1:12" ht="14.5" x14ac:dyDescent="0.35">
      <c r="A60" s="322" t="str">
        <f t="shared" si="1"/>
        <v xml:space="preserve">P330173 </v>
      </c>
      <c r="B60" s="196" t="s">
        <v>1466</v>
      </c>
      <c r="C60" s="224">
        <v>18140</v>
      </c>
      <c r="D60" s="224"/>
      <c r="E60" s="224">
        <f>XledgerData[[#This Row],[Column1]]+XledgerData[[#This Row],[Year to date]]</f>
        <v>18140</v>
      </c>
      <c r="F60" s="131"/>
      <c r="J60" s="163"/>
      <c r="K60" s="251"/>
      <c r="L60" s="139"/>
    </row>
    <row r="61" spans="1:12" ht="14.5" x14ac:dyDescent="0.35">
      <c r="A61" s="111" t="str">
        <f t="shared" si="1"/>
        <v xml:space="preserve">P330376 </v>
      </c>
      <c r="B61" s="233" t="s">
        <v>1555</v>
      </c>
      <c r="C61" s="234">
        <v>5460</v>
      </c>
      <c r="D61" s="234"/>
      <c r="E61" s="234">
        <f>XledgerData[[#This Row],[Column1]]+XledgerData[[#This Row],[Year to date]]</f>
        <v>5460</v>
      </c>
      <c r="F61" s="131"/>
      <c r="J61" s="163"/>
      <c r="K61" s="251"/>
      <c r="L61" s="139"/>
    </row>
    <row r="62" spans="1:12" ht="14.5" x14ac:dyDescent="0.35">
      <c r="A62" s="225" t="str">
        <f t="shared" si="1"/>
        <v xml:space="preserve">P330500 </v>
      </c>
      <c r="B62" s="226" t="s">
        <v>833</v>
      </c>
      <c r="C62" s="298">
        <v>52836</v>
      </c>
      <c r="D62" s="298"/>
      <c r="E62" s="298">
        <f>XledgerData[[#This Row],[Column1]]+XledgerData[[#This Row],[Year to date]]</f>
        <v>52836</v>
      </c>
      <c r="F62" s="131"/>
      <c r="J62" s="163"/>
      <c r="K62" s="251"/>
      <c r="L62" s="139"/>
    </row>
    <row r="63" spans="1:12" ht="14.5" x14ac:dyDescent="0.35">
      <c r="A63" s="161" t="str">
        <f t="shared" si="1"/>
        <v xml:space="preserve">P330461 </v>
      </c>
      <c r="B63" s="216" t="s">
        <v>818</v>
      </c>
      <c r="C63" s="235">
        <v>52247</v>
      </c>
      <c r="D63" s="235"/>
      <c r="E63" s="235">
        <f>XledgerData[[#This Row],[Column1]]+XledgerData[[#This Row],[Year to date]]</f>
        <v>52247</v>
      </c>
      <c r="F63" s="144"/>
      <c r="J63" s="28"/>
      <c r="K63" s="162"/>
      <c r="L63" s="139"/>
    </row>
    <row r="64" spans="1:12" ht="14.5" x14ac:dyDescent="0.35">
      <c r="A64" s="132" t="str">
        <f t="shared" si="1"/>
        <v xml:space="preserve">P330118 </v>
      </c>
      <c r="B64" s="194" t="s">
        <v>1603</v>
      </c>
      <c r="C64" s="170">
        <v>4200</v>
      </c>
      <c r="D64" s="170"/>
      <c r="E64" s="170">
        <f>XledgerData[[#This Row],[Column1]]+XledgerData[[#This Row],[Year to date]]</f>
        <v>4200</v>
      </c>
      <c r="F64" s="131"/>
      <c r="J64" s="163"/>
      <c r="K64" s="251"/>
      <c r="L64" s="139"/>
    </row>
    <row r="65" spans="1:12" ht="14.5" x14ac:dyDescent="0.35">
      <c r="A65" s="267" t="str">
        <f t="shared" si="1"/>
        <v xml:space="preserve">P330050 </v>
      </c>
      <c r="B65" s="230" t="s">
        <v>1506</v>
      </c>
      <c r="C65" s="231">
        <v>13196</v>
      </c>
      <c r="D65" s="231"/>
      <c r="E65" s="231">
        <f>XledgerData[[#This Row],[Column1]]+XledgerData[[#This Row],[Year to date]]</f>
        <v>13196</v>
      </c>
      <c r="F65" s="131"/>
      <c r="J65" s="163"/>
      <c r="K65" s="251"/>
      <c r="L65" s="139"/>
    </row>
    <row r="66" spans="1:12" ht="14.5" x14ac:dyDescent="0.35">
      <c r="A66" s="135" t="str">
        <f t="shared" si="1"/>
        <v xml:space="preserve">P330021 </v>
      </c>
      <c r="B66" s="203" t="s">
        <v>621</v>
      </c>
      <c r="C66" s="186">
        <v>50000</v>
      </c>
      <c r="D66" s="186">
        <v>500</v>
      </c>
      <c r="E66" s="186">
        <f>XledgerData[[#This Row],[Column1]]+XledgerData[[#This Row],[Year to date]]</f>
        <v>50500</v>
      </c>
      <c r="F66" s="131"/>
      <c r="J66" s="163"/>
      <c r="K66" s="251"/>
      <c r="L66" s="139"/>
    </row>
    <row r="67" spans="1:12" ht="14.5" x14ac:dyDescent="0.35">
      <c r="A67" s="143" t="str">
        <f t="shared" si="1"/>
        <v xml:space="preserve">P330375 </v>
      </c>
      <c r="B67" s="199" t="s">
        <v>1605</v>
      </c>
      <c r="C67" s="178">
        <v>4000</v>
      </c>
      <c r="D67" s="178"/>
      <c r="E67" s="178">
        <f>XledgerData[[#This Row],[Column1]]+XledgerData[[#This Row],[Year to date]]</f>
        <v>4000</v>
      </c>
      <c r="F67" s="131"/>
      <c r="J67" s="28"/>
      <c r="K67" s="162"/>
    </row>
    <row r="68" spans="1:12" ht="14.5" x14ac:dyDescent="0.35">
      <c r="A68" s="136" t="str">
        <f t="shared" si="1"/>
        <v xml:space="preserve">P330088 </v>
      </c>
      <c r="B68" s="206" t="s">
        <v>656</v>
      </c>
      <c r="C68" s="183">
        <v>20000</v>
      </c>
      <c r="D68" s="183">
        <v>6000</v>
      </c>
      <c r="E68" s="183">
        <f>XledgerData[[#This Row],[Column1]]+XledgerData[[#This Row],[Year to date]]</f>
        <v>26000</v>
      </c>
      <c r="F68" s="131"/>
      <c r="J68" s="163"/>
      <c r="K68" s="251"/>
    </row>
    <row r="69" spans="1:12" ht="14.5" x14ac:dyDescent="0.35">
      <c r="A69" s="125" t="str">
        <f t="shared" si="1"/>
        <v xml:space="preserve">P330285 </v>
      </c>
      <c r="B69" s="198" t="s">
        <v>745</v>
      </c>
      <c r="C69" s="176">
        <v>21000</v>
      </c>
      <c r="D69" s="176"/>
      <c r="E69" s="176">
        <f>XledgerData[[#This Row],[Column1]]+XledgerData[[#This Row],[Year to date]]</f>
        <v>21000</v>
      </c>
      <c r="F69" s="144"/>
      <c r="J69" s="163"/>
      <c r="K69" s="251"/>
    </row>
    <row r="70" spans="1:12" ht="14.5" x14ac:dyDescent="0.35">
      <c r="A70" s="166" t="str">
        <f t="shared" si="1"/>
        <v xml:space="preserve">P330309 </v>
      </c>
      <c r="B70" s="217" t="s">
        <v>756</v>
      </c>
      <c r="C70" s="268">
        <v>47500</v>
      </c>
      <c r="D70" s="268"/>
      <c r="E70" s="268">
        <f>XledgerData[[#This Row],[Column1]]+XledgerData[[#This Row],[Year to date]]</f>
        <v>47500</v>
      </c>
      <c r="F70" s="131"/>
      <c r="J70" s="163"/>
      <c r="K70" s="251"/>
    </row>
    <row r="71" spans="1:12" ht="14.5" x14ac:dyDescent="0.35">
      <c r="A71" s="137" t="str">
        <f t="shared" si="1"/>
        <v xml:space="preserve">P330491 </v>
      </c>
      <c r="B71" s="195" t="s">
        <v>832</v>
      </c>
      <c r="C71" s="221">
        <v>46953</v>
      </c>
      <c r="D71" s="221"/>
      <c r="E71" s="221">
        <f>XledgerData[[#This Row],[Column1]]+XledgerData[[#This Row],[Year to date]]</f>
        <v>46953</v>
      </c>
      <c r="F71" s="131"/>
      <c r="J71" s="163"/>
      <c r="K71" s="251"/>
    </row>
    <row r="72" spans="1:12" ht="14.5" x14ac:dyDescent="0.35">
      <c r="A72" s="136" t="str">
        <f t="shared" si="1"/>
        <v xml:space="preserve">P330074 </v>
      </c>
      <c r="B72" s="206" t="s">
        <v>649</v>
      </c>
      <c r="C72" s="183">
        <v>10800</v>
      </c>
      <c r="D72" s="183"/>
      <c r="E72" s="183">
        <f>XledgerData[[#This Row],[Column1]]+XledgerData[[#This Row],[Year to date]]</f>
        <v>10800</v>
      </c>
      <c r="F72" s="131"/>
      <c r="J72" s="163"/>
      <c r="K72" s="251"/>
    </row>
    <row r="73" spans="1:12" s="28" customFormat="1" ht="15" thickBot="1" x14ac:dyDescent="0.4">
      <c r="A73" s="225" t="str">
        <f t="shared" si="1"/>
        <v xml:space="preserve">P330047 </v>
      </c>
      <c r="B73" s="335" t="s">
        <v>637</v>
      </c>
      <c r="C73" s="227">
        <v>45592</v>
      </c>
      <c r="D73" s="227"/>
      <c r="E73" s="227">
        <f>XledgerData[[#This Row],[Column1]]+XledgerData[[#This Row],[Year to date]]</f>
        <v>45592</v>
      </c>
      <c r="F73" s="131"/>
      <c r="J73" s="163"/>
      <c r="K73" s="251"/>
    </row>
    <row r="74" spans="1:12" ht="14.5" x14ac:dyDescent="0.35">
      <c r="A74" s="329" t="str">
        <f t="shared" si="1"/>
        <v xml:space="preserve">P330311 </v>
      </c>
      <c r="B74" s="217" t="s">
        <v>758</v>
      </c>
      <c r="C74" s="268">
        <v>43200</v>
      </c>
      <c r="D74" s="268"/>
      <c r="E74" s="268">
        <f>XledgerData[[#This Row],[Column1]]+XledgerData[[#This Row],[Year to date]]</f>
        <v>43200</v>
      </c>
      <c r="F74" s="131"/>
      <c r="J74" s="163"/>
      <c r="K74" s="251"/>
    </row>
    <row r="75" spans="1:12" ht="14.5" x14ac:dyDescent="0.35">
      <c r="A75" s="263" t="str">
        <f t="shared" si="1"/>
        <v xml:space="preserve">P330110 </v>
      </c>
      <c r="B75" s="252" t="s">
        <v>1462</v>
      </c>
      <c r="C75" s="222">
        <v>14003</v>
      </c>
      <c r="D75" s="222"/>
      <c r="E75" s="222">
        <f>XledgerData[[#This Row],[Column1]]+XledgerData[[#This Row],[Year to date]]</f>
        <v>14003</v>
      </c>
      <c r="F75" s="131"/>
      <c r="J75" s="163"/>
      <c r="K75" s="251"/>
    </row>
    <row r="76" spans="1:12" ht="14.5" x14ac:dyDescent="0.35">
      <c r="A76" s="135" t="str">
        <f t="shared" si="1"/>
        <v xml:space="preserve">P330024 </v>
      </c>
      <c r="B76" s="203" t="s">
        <v>622</v>
      </c>
      <c r="C76" s="186">
        <v>4500</v>
      </c>
      <c r="D76" s="291"/>
      <c r="E76" s="291">
        <f>XledgerData[[#This Row],[Column1]]+XledgerData[[#This Row],[Year to date]]</f>
        <v>4500</v>
      </c>
      <c r="F76" s="131"/>
      <c r="J76" s="163"/>
      <c r="K76" s="251"/>
    </row>
    <row r="77" spans="1:12" ht="14.5" x14ac:dyDescent="0.35">
      <c r="A77" s="220" t="str">
        <f t="shared" si="1"/>
        <v xml:space="preserve">B118 </v>
      </c>
      <c r="B77" s="228" t="s">
        <v>1602</v>
      </c>
      <c r="C77" s="221">
        <v>3250</v>
      </c>
      <c r="D77" s="221">
        <v>-750</v>
      </c>
      <c r="E77" s="221">
        <f>XledgerData[[#This Row],[Column1]]+XledgerData[[#This Row],[Year to date]]</f>
        <v>2500</v>
      </c>
      <c r="F77" s="131"/>
      <c r="J77" s="163"/>
      <c r="K77" s="251"/>
    </row>
    <row r="78" spans="1:12" ht="14.5" x14ac:dyDescent="0.35">
      <c r="A78" s="161" t="str">
        <f t="shared" si="1"/>
        <v xml:space="preserve">P330470 </v>
      </c>
      <c r="B78" s="216" t="s">
        <v>1502</v>
      </c>
      <c r="C78" s="235">
        <v>22218</v>
      </c>
      <c r="D78" s="235"/>
      <c r="E78" s="235">
        <f>XledgerData[[#This Row],[Column1]]+XledgerData[[#This Row],[Year to date]]</f>
        <v>22218</v>
      </c>
      <c r="F78" s="131"/>
      <c r="J78" s="163"/>
      <c r="K78" s="251"/>
    </row>
    <row r="79" spans="1:12" ht="14.5" x14ac:dyDescent="0.35">
      <c r="A79" s="108" t="str">
        <f t="shared" si="1"/>
        <v xml:space="preserve">P330398 </v>
      </c>
      <c r="B79" s="248" t="s">
        <v>784</v>
      </c>
      <c r="C79" s="249">
        <v>7254</v>
      </c>
      <c r="D79" s="249"/>
      <c r="E79" s="249">
        <f>XledgerData[[#This Row],[Column1]]+XledgerData[[#This Row],[Year to date]]</f>
        <v>7254</v>
      </c>
      <c r="F79" s="131"/>
      <c r="J79" s="163"/>
      <c r="K79" s="251"/>
      <c r="L79" s="134"/>
    </row>
    <row r="80" spans="1:12" ht="14.5" x14ac:dyDescent="0.35">
      <c r="A80" s="114" t="str">
        <f t="shared" si="1"/>
        <v xml:space="preserve">P330194 </v>
      </c>
      <c r="B80" s="196" t="s">
        <v>1604</v>
      </c>
      <c r="C80" s="155">
        <v>3000</v>
      </c>
      <c r="D80" s="155">
        <v>2200</v>
      </c>
      <c r="E80" s="155">
        <f>XledgerData[[#This Row],[Column1]]+XledgerData[[#This Row],[Year to date]]</f>
        <v>5200</v>
      </c>
      <c r="F80" s="131"/>
      <c r="J80" s="163"/>
      <c r="K80" s="251"/>
    </row>
    <row r="81" spans="1:11" ht="14.5" x14ac:dyDescent="0.35">
      <c r="A81" s="114" t="str">
        <f t="shared" si="1"/>
        <v xml:space="preserve">P330176 </v>
      </c>
      <c r="B81" s="196" t="s">
        <v>1589</v>
      </c>
      <c r="C81" s="155">
        <v>5000</v>
      </c>
      <c r="D81" s="155"/>
      <c r="E81" s="155">
        <f>XledgerData[[#This Row],[Column1]]+XledgerData[[#This Row],[Year to date]]</f>
        <v>5000</v>
      </c>
      <c r="F81" s="145"/>
      <c r="J81" s="163"/>
      <c r="K81" s="251"/>
    </row>
    <row r="82" spans="1:11" ht="14.5" x14ac:dyDescent="0.35">
      <c r="A82" s="135" t="str">
        <f t="shared" si="1"/>
        <v xml:space="preserve">P330073 </v>
      </c>
      <c r="B82" s="203" t="s">
        <v>648</v>
      </c>
      <c r="C82" s="186">
        <v>13700</v>
      </c>
      <c r="D82" s="186">
        <v>-2700</v>
      </c>
      <c r="E82" s="186">
        <f>XledgerData[[#This Row],[Column1]]+XledgerData[[#This Row],[Year to date]]</f>
        <v>11000</v>
      </c>
      <c r="F82" s="131"/>
      <c r="J82" s="163"/>
      <c r="K82" s="251"/>
    </row>
    <row r="83" spans="1:11" ht="14.5" x14ac:dyDescent="0.35">
      <c r="A83" s="124" t="str">
        <f t="shared" si="1"/>
        <v xml:space="preserve">P330251 </v>
      </c>
      <c r="B83" s="261" t="s">
        <v>731</v>
      </c>
      <c r="C83" s="262">
        <v>21145</v>
      </c>
      <c r="D83" s="262"/>
      <c r="E83" s="262">
        <f>XledgerData[[#This Row],[Column1]]+XledgerData[[#This Row],[Year to date]]</f>
        <v>21145</v>
      </c>
      <c r="F83" s="131"/>
      <c r="J83" s="163"/>
      <c r="K83" s="251"/>
    </row>
    <row r="84" spans="1:11" ht="14.5" x14ac:dyDescent="0.35">
      <c r="A84" s="169" t="str">
        <f t="shared" si="1"/>
        <v xml:space="preserve">P330476 </v>
      </c>
      <c r="B84" s="216" t="s">
        <v>1451</v>
      </c>
      <c r="C84" s="235">
        <v>10476</v>
      </c>
      <c r="D84" s="235"/>
      <c r="E84" s="235">
        <f>XledgerData[[#This Row],[Column1]]+XledgerData[[#This Row],[Year to date]]</f>
        <v>10476</v>
      </c>
      <c r="F84" s="144"/>
      <c r="J84" s="163"/>
      <c r="K84" s="251"/>
    </row>
    <row r="85" spans="1:11" ht="14.5" x14ac:dyDescent="0.35">
      <c r="A85" s="160" t="str">
        <f t="shared" si="1"/>
        <v xml:space="preserve">P330418 </v>
      </c>
      <c r="B85" s="204" t="s">
        <v>1488</v>
      </c>
      <c r="C85" s="180">
        <v>13872</v>
      </c>
      <c r="D85" s="180">
        <v>9000</v>
      </c>
      <c r="E85" s="180">
        <f>XledgerData[[#This Row],[Column1]]+XledgerData[[#This Row],[Year to date]]</f>
        <v>22872</v>
      </c>
      <c r="F85" s="131"/>
      <c r="J85" s="163"/>
      <c r="K85" s="251"/>
    </row>
    <row r="86" spans="1:11" ht="14.5" x14ac:dyDescent="0.35">
      <c r="A86" s="133" t="str">
        <f t="shared" si="1"/>
        <v xml:space="preserve">P330093 </v>
      </c>
      <c r="B86" s="193" t="s">
        <v>658</v>
      </c>
      <c r="C86" s="184">
        <v>53771</v>
      </c>
      <c r="D86" s="184">
        <v>361</v>
      </c>
      <c r="E86" s="184">
        <f>XledgerData[[#This Row],[Column1]]+XledgerData[[#This Row],[Year to date]]</f>
        <v>54132</v>
      </c>
      <c r="F86" s="131"/>
      <c r="J86" s="163"/>
      <c r="K86" s="251"/>
    </row>
    <row r="87" spans="1:11" ht="14.5" x14ac:dyDescent="0.35">
      <c r="A87" s="220" t="str">
        <f t="shared" si="1"/>
        <v xml:space="preserve">P330161 </v>
      </c>
      <c r="B87" s="228" t="s">
        <v>1510</v>
      </c>
      <c r="C87" s="221">
        <v>8700</v>
      </c>
      <c r="D87" s="221">
        <v>1670</v>
      </c>
      <c r="E87" s="221">
        <f>XledgerData[[#This Row],[Column1]]+XledgerData[[#This Row],[Year to date]]</f>
        <v>10370</v>
      </c>
      <c r="F87" s="131"/>
      <c r="J87" s="163"/>
      <c r="K87" s="251"/>
    </row>
    <row r="88" spans="1:11" ht="14.5" x14ac:dyDescent="0.35">
      <c r="A88" s="259" t="str">
        <f t="shared" si="1"/>
        <v xml:space="preserve">P330128 </v>
      </c>
      <c r="B88" s="257" t="s">
        <v>678</v>
      </c>
      <c r="C88" s="258">
        <v>13935</v>
      </c>
      <c r="D88" s="258"/>
      <c r="E88" s="258">
        <f>XledgerData[[#This Row],[Column1]]+XledgerData[[#This Row],[Year to date]]</f>
        <v>13935</v>
      </c>
      <c r="F88" s="131"/>
      <c r="J88" s="163"/>
      <c r="K88" s="251"/>
    </row>
    <row r="89" spans="1:11" ht="14.5" x14ac:dyDescent="0.35">
      <c r="A89" s="239" t="str">
        <f t="shared" si="1"/>
        <v xml:space="preserve">P330441 </v>
      </c>
      <c r="B89" s="240" t="s">
        <v>1446</v>
      </c>
      <c r="C89" s="241">
        <v>32131</v>
      </c>
      <c r="D89" s="241"/>
      <c r="E89" s="241">
        <f>XledgerData[[#This Row],[Column1]]+XledgerData[[#This Row],[Year to date]]</f>
        <v>32131</v>
      </c>
      <c r="F89" s="131"/>
      <c r="J89" s="163"/>
      <c r="K89" s="251"/>
    </row>
    <row r="90" spans="1:11" ht="14.5" x14ac:dyDescent="0.35">
      <c r="A90" s="232" t="str">
        <f t="shared" si="1"/>
        <v xml:space="preserve">P330390 </v>
      </c>
      <c r="B90" s="233" t="s">
        <v>779</v>
      </c>
      <c r="C90" s="234">
        <v>11916</v>
      </c>
      <c r="D90" s="234">
        <v>-1836</v>
      </c>
      <c r="E90" s="234">
        <f>XledgerData[[#This Row],[Column1]]+XledgerData[[#This Row],[Year to date]]</f>
        <v>10080</v>
      </c>
      <c r="F90" s="131"/>
      <c r="J90" s="163"/>
      <c r="K90" s="251"/>
    </row>
    <row r="91" spans="1:11" ht="14.5" x14ac:dyDescent="0.35">
      <c r="A91" s="158" t="str">
        <f t="shared" si="1"/>
        <v xml:space="preserve">P330230 </v>
      </c>
      <c r="B91" s="205" t="s">
        <v>721</v>
      </c>
      <c r="C91" s="174">
        <v>29175</v>
      </c>
      <c r="D91" s="174">
        <v>2600</v>
      </c>
      <c r="E91" s="174">
        <f>XledgerData[[#This Row],[Column1]]+XledgerData[[#This Row],[Year to date]]</f>
        <v>31775</v>
      </c>
      <c r="F91" s="131"/>
      <c r="J91" s="163"/>
      <c r="K91" s="251"/>
    </row>
    <row r="92" spans="1:11" ht="14.5" x14ac:dyDescent="0.35">
      <c r="A92" s="158" t="str">
        <f t="shared" si="1"/>
        <v xml:space="preserve">P330247 </v>
      </c>
      <c r="B92" s="205" t="s">
        <v>1551</v>
      </c>
      <c r="C92" s="174">
        <v>18500</v>
      </c>
      <c r="D92" s="174"/>
      <c r="E92" s="174">
        <f>XledgerData[[#This Row],[Column1]]+XledgerData[[#This Row],[Year to date]]</f>
        <v>18500</v>
      </c>
      <c r="F92" s="131"/>
      <c r="J92" s="163"/>
      <c r="K92" s="251"/>
    </row>
    <row r="93" spans="1:11" ht="14.5" x14ac:dyDescent="0.35">
      <c r="A93" s="254" t="str">
        <f t="shared" si="1"/>
        <v xml:space="preserve">P330298 </v>
      </c>
      <c r="B93" s="255" t="s">
        <v>752</v>
      </c>
      <c r="C93" s="256">
        <v>8000</v>
      </c>
      <c r="D93" s="256"/>
      <c r="E93" s="256">
        <f>XledgerData[[#This Row],[Column1]]+XledgerData[[#This Row],[Year to date]]</f>
        <v>8000</v>
      </c>
      <c r="F93" s="131"/>
      <c r="J93" s="163"/>
      <c r="K93" s="251"/>
    </row>
    <row r="94" spans="1:11" ht="14.5" x14ac:dyDescent="0.35">
      <c r="A94" s="169" t="str">
        <f t="shared" si="1"/>
        <v xml:space="preserve">P330473 </v>
      </c>
      <c r="B94" s="200" t="s">
        <v>825</v>
      </c>
      <c r="C94" s="182">
        <v>32500</v>
      </c>
      <c r="D94" s="182"/>
      <c r="E94" s="182">
        <f>XledgerData[[#This Row],[Column1]]+XledgerData[[#This Row],[Year to date]]</f>
        <v>32500</v>
      </c>
      <c r="F94" s="144"/>
      <c r="J94" s="163"/>
      <c r="K94" s="251"/>
    </row>
    <row r="95" spans="1:11" ht="14.5" x14ac:dyDescent="0.35">
      <c r="A95" s="137" t="str">
        <f t="shared" si="1"/>
        <v xml:space="preserve">P330154 </v>
      </c>
      <c r="B95" s="195" t="s">
        <v>691</v>
      </c>
      <c r="C95" s="173">
        <v>27230</v>
      </c>
      <c r="D95" s="173">
        <v>110</v>
      </c>
      <c r="E95" s="173">
        <f>XledgerData[[#This Row],[Column1]]+XledgerData[[#This Row],[Year to date]]</f>
        <v>27340</v>
      </c>
      <c r="F95" s="131"/>
      <c r="J95" s="163"/>
      <c r="K95" s="251"/>
    </row>
    <row r="96" spans="1:11" ht="14.5" x14ac:dyDescent="0.35">
      <c r="A96" s="136" t="str">
        <f t="shared" si="1"/>
        <v xml:space="preserve">C330075 </v>
      </c>
      <c r="B96" s="206" t="s">
        <v>834</v>
      </c>
      <c r="C96" s="183">
        <v>12606</v>
      </c>
      <c r="D96" s="183"/>
      <c r="E96" s="183">
        <f>XledgerData[[#This Row],[Column1]]+XledgerData[[#This Row],[Year to date]]</f>
        <v>12606</v>
      </c>
      <c r="F96" s="131"/>
      <c r="J96" s="163"/>
      <c r="K96" s="251"/>
    </row>
    <row r="97" spans="1:11" ht="14.5" x14ac:dyDescent="0.35">
      <c r="A97" s="166" t="str">
        <f t="shared" si="1"/>
        <v xml:space="preserve">P330321 </v>
      </c>
      <c r="B97" s="217" t="s">
        <v>1433</v>
      </c>
      <c r="C97" s="268">
        <v>29245</v>
      </c>
      <c r="D97" s="268"/>
      <c r="E97" s="268">
        <f>XledgerData[[#This Row],[Column1]]+XledgerData[[#This Row],[Year to date]]</f>
        <v>29245</v>
      </c>
      <c r="F97" s="131"/>
      <c r="J97" s="163"/>
      <c r="K97" s="251"/>
    </row>
    <row r="98" spans="1:11" ht="14.5" x14ac:dyDescent="0.35">
      <c r="A98" s="260" t="str">
        <f t="shared" si="1"/>
        <v xml:space="preserve">P330265 </v>
      </c>
      <c r="B98" s="261" t="s">
        <v>1428</v>
      </c>
      <c r="C98" s="262">
        <v>9568</v>
      </c>
      <c r="D98" s="262"/>
      <c r="E98" s="262">
        <f>XledgerData[[#This Row],[Column1]]+XledgerData[[#This Row],[Year to date]]</f>
        <v>9568</v>
      </c>
      <c r="F98" s="131"/>
      <c r="J98" s="163"/>
      <c r="K98" s="251"/>
    </row>
    <row r="99" spans="1:11" ht="15" thickBot="1" x14ac:dyDescent="0.4">
      <c r="A99" s="136" t="str">
        <f t="shared" si="1"/>
        <v xml:space="preserve">P330092 </v>
      </c>
      <c r="B99" s="206" t="s">
        <v>657</v>
      </c>
      <c r="C99" s="183">
        <v>27300</v>
      </c>
      <c r="D99" s="183">
        <v>2700</v>
      </c>
      <c r="E99" s="183">
        <f>XledgerData[[#This Row],[Column1]]+XledgerData[[#This Row],[Year to date]]</f>
        <v>30000</v>
      </c>
      <c r="F99" s="131"/>
      <c r="J99" s="163"/>
      <c r="K99" s="251"/>
    </row>
    <row r="100" spans="1:11" ht="15" thickBot="1" x14ac:dyDescent="0.4">
      <c r="A100" s="324" t="str">
        <f t="shared" si="1"/>
        <v xml:space="preserve">P330072 </v>
      </c>
      <c r="B100" s="202" t="s">
        <v>1459</v>
      </c>
      <c r="C100" s="185">
        <v>11250</v>
      </c>
      <c r="D100" s="185"/>
      <c r="E100" s="185">
        <f>XledgerData[[#This Row],[Column1]]+XledgerData[[#This Row],[Year to date]]</f>
        <v>11250</v>
      </c>
      <c r="F100" s="131"/>
      <c r="J100" s="163"/>
      <c r="K100" s="251"/>
    </row>
    <row r="101" spans="1:11" ht="14.5" x14ac:dyDescent="0.35">
      <c r="A101" s="239" t="str">
        <f t="shared" si="1"/>
        <v xml:space="preserve">P330455 </v>
      </c>
      <c r="B101" s="240" t="s">
        <v>1448</v>
      </c>
      <c r="C101" s="241">
        <v>8820</v>
      </c>
      <c r="D101" s="241"/>
      <c r="E101" s="241">
        <f>XledgerData[[#This Row],[Column1]]+XledgerData[[#This Row],[Year to date]]</f>
        <v>8820</v>
      </c>
      <c r="F101" s="131"/>
      <c r="J101" s="163"/>
      <c r="K101" s="251"/>
    </row>
    <row r="102" spans="1:11" ht="14.5" x14ac:dyDescent="0.35">
      <c r="A102" s="263" t="str">
        <f t="shared" si="1"/>
        <v xml:space="preserve">P330102 </v>
      </c>
      <c r="B102" s="252" t="s">
        <v>662</v>
      </c>
      <c r="C102" s="222">
        <v>26336</v>
      </c>
      <c r="D102" s="222"/>
      <c r="E102" s="222">
        <f>XledgerData[[#This Row],[Column1]]+XledgerData[[#This Row],[Year to date]]</f>
        <v>26336</v>
      </c>
      <c r="F102" s="131"/>
      <c r="J102" s="163"/>
      <c r="K102" s="251"/>
    </row>
    <row r="103" spans="1:11" ht="14.5" x14ac:dyDescent="0.35">
      <c r="A103" s="136" t="str">
        <f t="shared" si="1"/>
        <v xml:space="preserve">P330097 </v>
      </c>
      <c r="B103" s="206" t="s">
        <v>659</v>
      </c>
      <c r="C103" s="183">
        <v>50174</v>
      </c>
      <c r="D103" s="183">
        <v>2182.11</v>
      </c>
      <c r="E103" s="183">
        <f>XledgerData[[#This Row],[Column1]]+XledgerData[[#This Row],[Year to date]]</f>
        <v>52356.11</v>
      </c>
      <c r="F103" s="131"/>
      <c r="J103" s="28"/>
      <c r="K103" s="162"/>
    </row>
    <row r="104" spans="1:11" ht="14.5" x14ac:dyDescent="0.35">
      <c r="A104" s="259" t="str">
        <f t="shared" si="1"/>
        <v xml:space="preserve">P330134 </v>
      </c>
      <c r="B104" s="257" t="s">
        <v>682</v>
      </c>
      <c r="C104" s="258">
        <v>26702</v>
      </c>
      <c r="D104" s="258"/>
      <c r="E104" s="258">
        <f>XledgerData[[#This Row],[Column1]]+XledgerData[[#This Row],[Year to date]]</f>
        <v>26702</v>
      </c>
      <c r="F104" s="131"/>
      <c r="J104" s="163"/>
      <c r="K104" s="251"/>
    </row>
    <row r="105" spans="1:11" ht="14.5" x14ac:dyDescent="0.35">
      <c r="A105" s="132" t="str">
        <f t="shared" si="1"/>
        <v xml:space="preserve">P330106 </v>
      </c>
      <c r="B105" s="194" t="s">
        <v>663</v>
      </c>
      <c r="C105" s="170">
        <v>18074</v>
      </c>
      <c r="D105" s="170">
        <v>-1374</v>
      </c>
      <c r="E105" s="170">
        <f>XledgerData[[#This Row],[Column1]]+XledgerData[[#This Row],[Year to date]]</f>
        <v>16700</v>
      </c>
      <c r="F105" s="131"/>
      <c r="J105" s="163"/>
      <c r="K105" s="251"/>
    </row>
    <row r="106" spans="1:11" ht="14.5" x14ac:dyDescent="0.35">
      <c r="A106" s="132" t="str">
        <f t="shared" si="1"/>
        <v xml:space="preserve">B111 </v>
      </c>
      <c r="B106" s="194" t="s">
        <v>1343</v>
      </c>
      <c r="C106" s="149">
        <v>3802</v>
      </c>
      <c r="D106" s="149">
        <v>1374</v>
      </c>
      <c r="E106" s="149">
        <f>XledgerData[[#This Row],[Column1]]+XledgerData[[#This Row],[Year to date]]</f>
        <v>5176</v>
      </c>
      <c r="F106" s="131"/>
      <c r="J106" s="163"/>
      <c r="K106" s="251"/>
    </row>
    <row r="107" spans="1:11" ht="14.5" x14ac:dyDescent="0.35">
      <c r="A107" s="225" t="str">
        <f t="shared" si="1"/>
        <v xml:space="preserve">P330044 </v>
      </c>
      <c r="B107" s="226" t="s">
        <v>635</v>
      </c>
      <c r="C107" s="227">
        <v>24488</v>
      </c>
      <c r="D107" s="227"/>
      <c r="E107" s="227">
        <f>XledgerData[[#This Row],[Column1]]+XledgerData[[#This Row],[Year to date]]</f>
        <v>24488</v>
      </c>
      <c r="F107" s="131"/>
      <c r="J107" s="163"/>
      <c r="K107" s="251"/>
    </row>
    <row r="108" spans="1:11" s="28" customFormat="1" ht="14.5" x14ac:dyDescent="0.35">
      <c r="A108" s="253" t="str">
        <f t="shared" si="1"/>
        <v xml:space="preserve">P330179 </v>
      </c>
      <c r="B108" s="223" t="s">
        <v>1468</v>
      </c>
      <c r="C108" s="224">
        <v>5400</v>
      </c>
      <c r="D108" s="224"/>
      <c r="E108" s="224">
        <f>XledgerData[[#This Row],[Column1]]+XledgerData[[#This Row],[Year to date]]</f>
        <v>5400</v>
      </c>
      <c r="F108" s="131"/>
      <c r="K108" s="162"/>
    </row>
    <row r="109" spans="1:11" ht="14.5" x14ac:dyDescent="0.35">
      <c r="A109" s="269" t="str">
        <f t="shared" si="1"/>
        <v xml:space="preserve">P330274 </v>
      </c>
      <c r="B109" s="261" t="s">
        <v>1516</v>
      </c>
      <c r="C109" s="262">
        <v>48000</v>
      </c>
      <c r="D109" s="262">
        <f>13000+5926</f>
        <v>18926</v>
      </c>
      <c r="E109" s="262">
        <f>XledgerData[[#This Row],[Column1]]+XledgerData[[#This Row],[Year to date]]</f>
        <v>66926</v>
      </c>
      <c r="F109" s="144"/>
      <c r="J109" s="163"/>
      <c r="K109" s="251"/>
    </row>
    <row r="110" spans="1:11" ht="14.5" x14ac:dyDescent="0.35">
      <c r="A110" s="136" t="str">
        <f t="shared" si="1"/>
        <v xml:space="preserve">P330086 </v>
      </c>
      <c r="B110" s="215" t="s">
        <v>655</v>
      </c>
      <c r="C110" s="183">
        <v>20000</v>
      </c>
      <c r="D110" s="147"/>
      <c r="E110" s="246">
        <f>XledgerData[[#This Row],[Column1]]+XledgerData[[#This Row],[Year to date]]</f>
        <v>20000</v>
      </c>
      <c r="F110" s="131"/>
      <c r="J110" s="163"/>
      <c r="K110" s="251"/>
    </row>
    <row r="111" spans="1:11" ht="14.5" x14ac:dyDescent="0.35">
      <c r="A111" s="259" t="str">
        <f t="shared" si="1"/>
        <v xml:space="preserve">P330121 </v>
      </c>
      <c r="B111" s="257" t="s">
        <v>672</v>
      </c>
      <c r="C111" s="258">
        <v>26418</v>
      </c>
      <c r="D111" s="258"/>
      <c r="E111" s="258">
        <f>XledgerData[[#This Row],[Column1]]+XledgerData[[#This Row],[Year to date]]</f>
        <v>26418</v>
      </c>
      <c r="F111" s="131"/>
      <c r="J111" s="163"/>
      <c r="K111" s="251"/>
    </row>
    <row r="112" spans="1:11" ht="14.5" x14ac:dyDescent="0.35">
      <c r="A112" s="114" t="str">
        <f t="shared" si="1"/>
        <v xml:space="preserve">P330276 </v>
      </c>
      <c r="B112" s="196" t="s">
        <v>1429</v>
      </c>
      <c r="C112" s="155">
        <v>7000</v>
      </c>
      <c r="D112" s="155"/>
      <c r="E112" s="155">
        <f>XledgerData[[#This Row],[Column1]]+XledgerData[[#This Row],[Year to date]]</f>
        <v>7000</v>
      </c>
      <c r="F112" s="131"/>
      <c r="J112" s="163"/>
      <c r="K112" s="251"/>
    </row>
    <row r="113" spans="1:11" ht="14.5" x14ac:dyDescent="0.35">
      <c r="A113" s="284" t="str">
        <f t="shared" si="1"/>
        <v xml:space="preserve">B115 </v>
      </c>
      <c r="B113" s="278" t="s">
        <v>611</v>
      </c>
      <c r="C113" s="285">
        <v>27000</v>
      </c>
      <c r="D113" s="285"/>
      <c r="E113" s="285">
        <f>XledgerData[[#This Row],[Column1]]+XledgerData[[#This Row],[Year to date]]</f>
        <v>27000</v>
      </c>
      <c r="F113" s="131"/>
      <c r="J113" s="163"/>
      <c r="K113" s="251"/>
    </row>
    <row r="114" spans="1:11" ht="14.5" x14ac:dyDescent="0.35">
      <c r="A114" s="264" t="str">
        <f t="shared" si="1"/>
        <v xml:space="preserve">P330205 </v>
      </c>
      <c r="B114" s="265" t="s">
        <v>1569</v>
      </c>
      <c r="C114" s="266">
        <v>5000</v>
      </c>
      <c r="D114" s="266">
        <v>1392</v>
      </c>
      <c r="E114" s="266">
        <f>XledgerData[[#This Row],[Column1]]+XledgerData[[#This Row],[Year to date]]</f>
        <v>6392</v>
      </c>
      <c r="F114" s="131"/>
      <c r="J114" s="163"/>
      <c r="K114" s="251"/>
    </row>
    <row r="115" spans="1:11" ht="14.5" x14ac:dyDescent="0.35">
      <c r="A115" s="138" t="str">
        <f t="shared" si="1"/>
        <v xml:space="preserve">P330288 </v>
      </c>
      <c r="B115" s="198" t="s">
        <v>747</v>
      </c>
      <c r="C115" s="176">
        <v>23500</v>
      </c>
      <c r="D115" s="176">
        <v>500</v>
      </c>
      <c r="E115" s="176">
        <f>XledgerData[[#This Row],[Column1]]+XledgerData[[#This Row],[Year to date]]</f>
        <v>24000</v>
      </c>
      <c r="F115" s="144"/>
      <c r="J115" s="163"/>
      <c r="K115" s="251"/>
    </row>
    <row r="116" spans="1:11" ht="14.5" x14ac:dyDescent="0.35">
      <c r="A116" s="250" t="str">
        <f t="shared" ref="A116:A180" si="2">LEFT(B116,FIND(" ",B116,1))</f>
        <v xml:space="preserve">P330373 </v>
      </c>
      <c r="B116" s="233" t="s">
        <v>1581</v>
      </c>
      <c r="C116" s="234">
        <v>3500</v>
      </c>
      <c r="D116" s="234">
        <f>500+997</f>
        <v>1497</v>
      </c>
      <c r="E116" s="234">
        <f>XledgerData[[#This Row],[Column1]]+XledgerData[[#This Row],[Year to date]]</f>
        <v>4997</v>
      </c>
      <c r="F116" s="131"/>
      <c r="J116" s="163"/>
      <c r="K116" s="251"/>
    </row>
    <row r="117" spans="1:11" ht="14.5" x14ac:dyDescent="0.35">
      <c r="A117" s="123" t="str">
        <f t="shared" si="2"/>
        <v xml:space="preserve">P330144 </v>
      </c>
      <c r="B117" s="228" t="s">
        <v>1507</v>
      </c>
      <c r="C117" s="221">
        <v>4000</v>
      </c>
      <c r="D117" s="221"/>
      <c r="E117" s="221">
        <f>XledgerData[[#This Row],[Column1]]+XledgerData[[#This Row],[Year to date]]</f>
        <v>4000</v>
      </c>
      <c r="F117" s="131"/>
      <c r="J117" s="163"/>
      <c r="K117" s="251"/>
    </row>
    <row r="118" spans="1:11" ht="14.5" x14ac:dyDescent="0.35">
      <c r="A118" s="157" t="str">
        <f t="shared" si="2"/>
        <v xml:space="preserve">P330254 </v>
      </c>
      <c r="B118" s="261" t="s">
        <v>732</v>
      </c>
      <c r="C118" s="262">
        <v>18000</v>
      </c>
      <c r="D118" s="262"/>
      <c r="E118" s="262">
        <f>XledgerData[[#This Row],[Column1]]+XledgerData[[#This Row],[Year to date]]</f>
        <v>18000</v>
      </c>
      <c r="F118" s="131"/>
      <c r="J118" s="163"/>
      <c r="K118" s="251"/>
    </row>
    <row r="119" spans="1:11" ht="14.5" x14ac:dyDescent="0.35">
      <c r="A119" s="220" t="str">
        <f t="shared" si="2"/>
        <v xml:space="preserve">P330158 </v>
      </c>
      <c r="B119" s="228" t="s">
        <v>1464</v>
      </c>
      <c r="C119" s="221">
        <v>10739</v>
      </c>
      <c r="D119" s="221"/>
      <c r="E119" s="221">
        <f>XledgerData[[#This Row],[Column1]]+XledgerData[[#This Row],[Year to date]]</f>
        <v>10739</v>
      </c>
      <c r="F119" s="144"/>
      <c r="J119" s="163"/>
      <c r="K119" s="251"/>
    </row>
    <row r="120" spans="1:11" ht="14.5" x14ac:dyDescent="0.35">
      <c r="A120" s="220" t="str">
        <f t="shared" si="2"/>
        <v xml:space="preserve">P330159 </v>
      </c>
      <c r="B120" s="228" t="s">
        <v>694</v>
      </c>
      <c r="C120" s="221">
        <v>28723</v>
      </c>
      <c r="D120" s="221">
        <v>1000</v>
      </c>
      <c r="E120" s="221">
        <f>XledgerData[[#This Row],[Column1]]+XledgerData[[#This Row],[Year to date]]</f>
        <v>29723</v>
      </c>
      <c r="F120" s="131"/>
      <c r="J120" s="163"/>
      <c r="K120" s="251"/>
    </row>
    <row r="121" spans="1:11" ht="14.5" x14ac:dyDescent="0.35">
      <c r="A121" s="260" t="str">
        <f t="shared" si="2"/>
        <v xml:space="preserve">P330270 </v>
      </c>
      <c r="B121" s="261" t="s">
        <v>737</v>
      </c>
      <c r="C121" s="262">
        <v>12900</v>
      </c>
      <c r="D121" s="262"/>
      <c r="E121" s="262">
        <f>XledgerData[[#This Row],[Column1]]+XledgerData[[#This Row],[Year to date]]</f>
        <v>12900</v>
      </c>
      <c r="F121" s="131"/>
      <c r="J121" s="163"/>
      <c r="K121" s="251"/>
    </row>
    <row r="122" spans="1:11" ht="14.5" x14ac:dyDescent="0.35">
      <c r="A122" s="263" t="str">
        <f t="shared" si="2"/>
        <v xml:space="preserve">P330108 </v>
      </c>
      <c r="B122" s="252" t="s">
        <v>665</v>
      </c>
      <c r="C122" s="222">
        <v>8792</v>
      </c>
      <c r="D122" s="222"/>
      <c r="E122" s="222">
        <f>XledgerData[[#This Row],[Column1]]+XledgerData[[#This Row],[Year to date]]</f>
        <v>8792</v>
      </c>
      <c r="F122" s="144"/>
      <c r="J122" s="163"/>
      <c r="K122" s="251"/>
    </row>
    <row r="123" spans="1:11" ht="14.5" x14ac:dyDescent="0.35">
      <c r="A123" s="242" t="str">
        <f t="shared" si="2"/>
        <v xml:space="preserve">P330419 </v>
      </c>
      <c r="B123" s="243" t="s">
        <v>1443</v>
      </c>
      <c r="C123" s="244">
        <v>19368</v>
      </c>
      <c r="D123" s="244"/>
      <c r="E123" s="244">
        <f>XledgerData[[#This Row],[Column1]]+XledgerData[[#This Row],[Year to date]]</f>
        <v>19368</v>
      </c>
      <c r="F123" s="131"/>
      <c r="J123" s="28"/>
      <c r="K123" s="162"/>
    </row>
    <row r="124" spans="1:11" ht="14.5" x14ac:dyDescent="0.35">
      <c r="A124" s="236" t="str">
        <f t="shared" si="2"/>
        <v xml:space="preserve">P330013 </v>
      </c>
      <c r="B124" s="237" t="s">
        <v>618</v>
      </c>
      <c r="C124" s="238">
        <v>21609</v>
      </c>
      <c r="D124" s="238"/>
      <c r="E124" s="238">
        <f>XledgerData[[#This Row],[Column1]]+XledgerData[[#This Row],[Year to date]]</f>
        <v>21609</v>
      </c>
      <c r="F124" s="131"/>
      <c r="J124" s="163"/>
      <c r="K124" s="251"/>
    </row>
    <row r="125" spans="1:11" ht="14.5" x14ac:dyDescent="0.35">
      <c r="A125" s="259" t="str">
        <f t="shared" si="2"/>
        <v xml:space="preserve">P330130 </v>
      </c>
      <c r="B125" s="257" t="s">
        <v>1400</v>
      </c>
      <c r="C125" s="258">
        <v>7100</v>
      </c>
      <c r="D125" s="258"/>
      <c r="E125" s="258">
        <f>XledgerData[[#This Row],[Column1]]+XledgerData[[#This Row],[Year to date]]</f>
        <v>7100</v>
      </c>
      <c r="F125" s="131"/>
      <c r="J125" s="163"/>
      <c r="K125" s="251"/>
    </row>
    <row r="126" spans="1:11" ht="14.5" x14ac:dyDescent="0.35">
      <c r="A126" s="269" t="str">
        <f t="shared" si="2"/>
        <v xml:space="preserve">P330267 </v>
      </c>
      <c r="B126" s="261" t="s">
        <v>1477</v>
      </c>
      <c r="C126" s="262">
        <v>4771</v>
      </c>
      <c r="D126" s="262"/>
      <c r="E126" s="262">
        <f>XledgerData[[#This Row],[Column1]]+XledgerData[[#This Row],[Year to date]]</f>
        <v>4771</v>
      </c>
      <c r="F126" s="131"/>
      <c r="J126" s="163"/>
      <c r="K126" s="251"/>
    </row>
    <row r="127" spans="1:11" ht="14.5" x14ac:dyDescent="0.35">
      <c r="A127" s="264" t="str">
        <f t="shared" si="2"/>
        <v xml:space="preserve">P330199 </v>
      </c>
      <c r="B127" s="265" t="s">
        <v>712</v>
      </c>
      <c r="C127" s="266">
        <v>7683</v>
      </c>
      <c r="D127" s="266"/>
      <c r="E127" s="266">
        <f>XledgerData[[#This Row],[Column1]]+XledgerData[[#This Row],[Year to date]]</f>
        <v>7683</v>
      </c>
      <c r="F127" s="131"/>
      <c r="J127" s="163"/>
      <c r="K127" s="251"/>
    </row>
    <row r="128" spans="1:11" ht="14.5" x14ac:dyDescent="0.35">
      <c r="A128" s="232" t="str">
        <f t="shared" si="2"/>
        <v xml:space="preserve">P330388 </v>
      </c>
      <c r="B128" s="233" t="s">
        <v>1442</v>
      </c>
      <c r="C128" s="234">
        <v>17360</v>
      </c>
      <c r="D128" s="234">
        <v>904</v>
      </c>
      <c r="E128" s="234">
        <f>XledgerData[[#This Row],[Column1]]+XledgerData[[#This Row],[Year to date]]</f>
        <v>18264</v>
      </c>
      <c r="F128" s="144"/>
      <c r="J128" s="163"/>
      <c r="K128" s="251"/>
    </row>
    <row r="129" spans="1:11" ht="14.5" x14ac:dyDescent="0.35">
      <c r="A129" s="122" t="str">
        <f t="shared" si="2"/>
        <v xml:space="preserve">P330056 </v>
      </c>
      <c r="B129" s="202" t="s">
        <v>1595</v>
      </c>
      <c r="C129" s="185">
        <v>9716</v>
      </c>
      <c r="D129" s="185">
        <v>4</v>
      </c>
      <c r="E129" s="185">
        <f>XledgerData[[#This Row],[Column1]]+XledgerData[[#This Row],[Year to date]]</f>
        <v>9720</v>
      </c>
      <c r="F129" s="131"/>
      <c r="J129" s="163"/>
      <c r="K129" s="251"/>
    </row>
    <row r="130" spans="1:11" ht="14.5" x14ac:dyDescent="0.35">
      <c r="A130" s="236" t="str">
        <f t="shared" si="2"/>
        <v xml:space="preserve">P330019 </v>
      </c>
      <c r="B130" s="237" t="s">
        <v>620</v>
      </c>
      <c r="C130" s="238">
        <v>19139</v>
      </c>
      <c r="D130" s="238"/>
      <c r="E130" s="238">
        <f>XledgerData[[#This Row],[Column1]]+XledgerData[[#This Row],[Year to date]]</f>
        <v>19139</v>
      </c>
      <c r="F130" s="131"/>
      <c r="J130" s="163"/>
      <c r="K130" s="251"/>
    </row>
    <row r="131" spans="1:11" ht="14.5" x14ac:dyDescent="0.35">
      <c r="A131" s="218" t="str">
        <f t="shared" si="2"/>
        <v xml:space="preserve">P330225 </v>
      </c>
      <c r="B131" s="229" t="s">
        <v>718</v>
      </c>
      <c r="C131" s="219">
        <v>6620</v>
      </c>
      <c r="D131" s="219"/>
      <c r="E131" s="219">
        <f>XledgerData[[#This Row],[Column1]]+XledgerData[[#This Row],[Year to date]]</f>
        <v>6620</v>
      </c>
      <c r="F131" s="131"/>
      <c r="J131" s="163"/>
      <c r="K131" s="251"/>
    </row>
    <row r="132" spans="1:11" ht="14.5" x14ac:dyDescent="0.35">
      <c r="A132" s="277" t="str">
        <f t="shared" si="2"/>
        <v xml:space="preserve">P330076 </v>
      </c>
      <c r="B132" s="278" t="s">
        <v>1460</v>
      </c>
      <c r="C132" s="279">
        <v>5063</v>
      </c>
      <c r="D132" s="279"/>
      <c r="E132" s="279">
        <f>XledgerData[[#This Row],[Column1]]+XledgerData[[#This Row],[Year to date]]</f>
        <v>5063</v>
      </c>
      <c r="F132" s="131"/>
      <c r="J132" s="163"/>
      <c r="K132" s="251"/>
    </row>
    <row r="133" spans="1:11" ht="14.5" x14ac:dyDescent="0.35">
      <c r="A133" s="120" t="str">
        <f t="shared" si="2"/>
        <v xml:space="preserve">P330077 </v>
      </c>
      <c r="B133" s="206" t="s">
        <v>650</v>
      </c>
      <c r="C133" s="183">
        <v>8937</v>
      </c>
      <c r="D133" s="183"/>
      <c r="E133" s="183">
        <f>XledgerData[[#This Row],[Column1]]+XledgerData[[#This Row],[Year to date]]</f>
        <v>8937</v>
      </c>
      <c r="F133" s="131"/>
      <c r="J133" s="163"/>
      <c r="K133" s="251"/>
    </row>
    <row r="134" spans="1:11" ht="14.5" x14ac:dyDescent="0.35">
      <c r="A134" s="220" t="str">
        <f t="shared" si="2"/>
        <v xml:space="preserve">P330157 </v>
      </c>
      <c r="B134" s="228" t="s">
        <v>693</v>
      </c>
      <c r="C134" s="221">
        <v>7384</v>
      </c>
      <c r="D134" s="221"/>
      <c r="E134" s="221">
        <f>XledgerData[[#This Row],[Column1]]+XledgerData[[#This Row],[Year to date]]</f>
        <v>7384</v>
      </c>
      <c r="F134" s="131"/>
      <c r="J134" s="163"/>
      <c r="K134" s="251"/>
    </row>
    <row r="135" spans="1:11" ht="14.5" x14ac:dyDescent="0.35">
      <c r="A135" s="113" t="str">
        <f t="shared" si="2"/>
        <v xml:space="preserve">P330257 </v>
      </c>
      <c r="B135" s="196" t="s">
        <v>1476</v>
      </c>
      <c r="C135" s="155">
        <v>4500</v>
      </c>
      <c r="D135" s="155"/>
      <c r="E135" s="155">
        <f>XledgerData[[#This Row],[Column1]]+XledgerData[[#This Row],[Year to date]]</f>
        <v>4500</v>
      </c>
      <c r="F135" s="131"/>
      <c r="J135" s="28"/>
      <c r="K135" s="162"/>
    </row>
    <row r="136" spans="1:11" ht="14.5" x14ac:dyDescent="0.35">
      <c r="A136" s="158" t="str">
        <f t="shared" si="2"/>
        <v xml:space="preserve">P330325 </v>
      </c>
      <c r="B136" s="205" t="s">
        <v>1606</v>
      </c>
      <c r="C136" s="283">
        <v>1500</v>
      </c>
      <c r="D136" s="283">
        <v>500</v>
      </c>
      <c r="E136" s="283">
        <f>XledgerData[[#This Row],[Column1]]+XledgerData[[#This Row],[Year to date]]</f>
        <v>2000</v>
      </c>
      <c r="F136" s="131"/>
      <c r="J136" s="163"/>
      <c r="K136" s="251"/>
    </row>
    <row r="137" spans="1:11" ht="14.5" x14ac:dyDescent="0.35">
      <c r="A137" s="135" t="str">
        <f t="shared" si="2"/>
        <v xml:space="preserve">P330007 </v>
      </c>
      <c r="B137" s="237" t="s">
        <v>1355</v>
      </c>
      <c r="C137" s="238">
        <v>6000</v>
      </c>
      <c r="D137" s="238"/>
      <c r="E137" s="238">
        <f>XledgerData[[#This Row],[Column1]]+XledgerData[[#This Row],[Year to date]]</f>
        <v>6000</v>
      </c>
      <c r="F137" s="144"/>
      <c r="J137" s="163"/>
      <c r="K137" s="251"/>
    </row>
    <row r="138" spans="1:11" ht="14.5" x14ac:dyDescent="0.35">
      <c r="A138" s="132" t="str">
        <f t="shared" si="2"/>
        <v xml:space="preserve">P330101 </v>
      </c>
      <c r="B138" s="194" t="s">
        <v>661</v>
      </c>
      <c r="C138" s="170">
        <v>28400</v>
      </c>
      <c r="D138" s="170"/>
      <c r="E138" s="170">
        <f>XledgerData[[#This Row],[Column1]]+XledgerData[[#This Row],[Year to date]]</f>
        <v>28400</v>
      </c>
      <c r="F138" s="144"/>
      <c r="J138" s="163"/>
      <c r="K138" s="251"/>
    </row>
    <row r="139" spans="1:11" ht="14.5" x14ac:dyDescent="0.35">
      <c r="A139" s="220" t="str">
        <f t="shared" si="2"/>
        <v xml:space="preserve">P330155 </v>
      </c>
      <c r="B139" s="228" t="s">
        <v>692</v>
      </c>
      <c r="C139" s="221">
        <v>17292</v>
      </c>
      <c r="D139" s="221"/>
      <c r="E139" s="221">
        <f>XledgerData[[#This Row],[Column1]]+XledgerData[[#This Row],[Year to date]]</f>
        <v>17292</v>
      </c>
      <c r="F139" s="131"/>
      <c r="J139" s="163"/>
      <c r="K139" s="251"/>
    </row>
    <row r="140" spans="1:11" ht="14.5" x14ac:dyDescent="0.35">
      <c r="A140" s="109" t="str">
        <f t="shared" si="2"/>
        <v xml:space="preserve">P330043 </v>
      </c>
      <c r="B140" s="193" t="s">
        <v>634</v>
      </c>
      <c r="C140" s="184">
        <v>5032</v>
      </c>
      <c r="D140" s="184"/>
      <c r="E140" s="184">
        <f>XledgerData[[#This Row],[Column1]]+XledgerData[[#This Row],[Year to date]]</f>
        <v>5032</v>
      </c>
      <c r="F140" s="131"/>
      <c r="J140" s="163"/>
      <c r="K140" s="251"/>
    </row>
    <row r="141" spans="1:11" ht="14.5" x14ac:dyDescent="0.35">
      <c r="A141" s="132" t="str">
        <f t="shared" si="2"/>
        <v xml:space="preserve">P330099 </v>
      </c>
      <c r="B141" s="194" t="s">
        <v>1583</v>
      </c>
      <c r="C141" s="170">
        <v>3400</v>
      </c>
      <c r="D141" s="170">
        <v>600</v>
      </c>
      <c r="E141" s="170">
        <f>XledgerData[[#This Row],[Column1]]+XledgerData[[#This Row],[Year to date]]</f>
        <v>4000</v>
      </c>
      <c r="F141" s="131"/>
      <c r="J141" s="28"/>
      <c r="K141" s="162"/>
    </row>
    <row r="142" spans="1:11" ht="14.5" x14ac:dyDescent="0.35">
      <c r="A142" s="109" t="str">
        <f t="shared" si="2"/>
        <v xml:space="preserve">P330046 </v>
      </c>
      <c r="B142" s="193" t="s">
        <v>636</v>
      </c>
      <c r="C142" s="184">
        <v>8328</v>
      </c>
      <c r="D142" s="184"/>
      <c r="E142" s="184">
        <f>XledgerData[[#This Row],[Column1]]+XledgerData[[#This Row],[Year to date]]</f>
        <v>8328</v>
      </c>
      <c r="F142" s="131"/>
      <c r="J142" s="163"/>
      <c r="K142" s="251"/>
    </row>
    <row r="143" spans="1:11" ht="14.5" x14ac:dyDescent="0.35">
      <c r="A143" s="161" t="str">
        <f t="shared" si="2"/>
        <v xml:space="preserve">P330465 </v>
      </c>
      <c r="B143" s="216" t="s">
        <v>1501</v>
      </c>
      <c r="C143" s="235">
        <v>5356</v>
      </c>
      <c r="D143" s="235"/>
      <c r="E143" s="235">
        <f>XledgerData[[#This Row],[Column1]]+XledgerData[[#This Row],[Year to date]]</f>
        <v>5356</v>
      </c>
      <c r="F143" s="131"/>
      <c r="J143" s="163"/>
      <c r="K143" s="251"/>
    </row>
    <row r="144" spans="1:11" ht="14.5" x14ac:dyDescent="0.35">
      <c r="A144" s="270" t="str">
        <f t="shared" si="2"/>
        <v xml:space="preserve">P330178 </v>
      </c>
      <c r="B144" s="223" t="s">
        <v>1467</v>
      </c>
      <c r="C144" s="224">
        <v>3800</v>
      </c>
      <c r="D144" s="224"/>
      <c r="E144" s="224">
        <f>XledgerData[[#This Row],[Column1]]+XledgerData[[#This Row],[Year to date]]</f>
        <v>3800</v>
      </c>
      <c r="F144" s="131"/>
      <c r="J144" s="28"/>
      <c r="K144" s="162"/>
    </row>
    <row r="145" spans="1:11" s="28" customFormat="1" ht="14.5" x14ac:dyDescent="0.35">
      <c r="A145" s="286" t="str">
        <f t="shared" si="2"/>
        <v xml:space="preserve">P330396 </v>
      </c>
      <c r="B145" s="248" t="s">
        <v>782</v>
      </c>
      <c r="C145" s="249">
        <v>46500</v>
      </c>
      <c r="D145" s="249"/>
      <c r="E145" s="249">
        <f>XledgerData[[#This Row],[Column1]]+XledgerData[[#This Row],[Year to date]]</f>
        <v>46500</v>
      </c>
      <c r="F145" s="131"/>
      <c r="J145" s="163"/>
      <c r="K145" s="251"/>
    </row>
    <row r="146" spans="1:11" ht="14.5" x14ac:dyDescent="0.35">
      <c r="A146" s="239" t="str">
        <f t="shared" si="2"/>
        <v xml:space="preserve">P330457 </v>
      </c>
      <c r="B146" s="240" t="s">
        <v>814</v>
      </c>
      <c r="C146" s="241">
        <v>15708</v>
      </c>
      <c r="D146" s="241"/>
      <c r="E146" s="241">
        <f>XledgerData[[#This Row],[Column1]]+XledgerData[[#This Row],[Year to date]]</f>
        <v>15708</v>
      </c>
      <c r="F146" s="131"/>
      <c r="J146" s="28"/>
      <c r="K146" s="162"/>
    </row>
    <row r="147" spans="1:11" ht="14.5" x14ac:dyDescent="0.35">
      <c r="A147" s="164" t="str">
        <f t="shared" si="2"/>
        <v xml:space="preserve">P330400 </v>
      </c>
      <c r="B147" s="201" t="s">
        <v>786</v>
      </c>
      <c r="C147" s="179">
        <v>11646</v>
      </c>
      <c r="D147" s="179"/>
      <c r="E147" s="179">
        <f>XledgerData[[#This Row],[Column1]]+XledgerData[[#This Row],[Year to date]]</f>
        <v>11646</v>
      </c>
      <c r="F147" s="131"/>
      <c r="J147" s="163"/>
      <c r="K147" s="251"/>
    </row>
    <row r="148" spans="1:11" ht="14.5" x14ac:dyDescent="0.35">
      <c r="A148" s="296" t="str">
        <f t="shared" si="2"/>
        <v xml:space="preserve">P330351 </v>
      </c>
      <c r="B148" s="199" t="s">
        <v>1562</v>
      </c>
      <c r="C148" s="178">
        <v>3262</v>
      </c>
      <c r="D148" s="178"/>
      <c r="E148" s="178">
        <f>XledgerData[[#This Row],[Column1]]+XledgerData[[#This Row],[Year to date]]</f>
        <v>3262</v>
      </c>
      <c r="F148" s="131"/>
      <c r="J148" s="163"/>
      <c r="K148" s="251"/>
    </row>
    <row r="149" spans="1:11" ht="14.5" x14ac:dyDescent="0.35">
      <c r="A149" s="332" t="str">
        <f t="shared" si="2"/>
        <v xml:space="preserve">P330314 </v>
      </c>
      <c r="B149" s="223" t="s">
        <v>760</v>
      </c>
      <c r="C149" s="224">
        <v>14966</v>
      </c>
      <c r="D149" s="224"/>
      <c r="E149" s="224">
        <f>XledgerData[[#This Row],[Column1]]+XledgerData[[#This Row],[Year to date]]</f>
        <v>14966</v>
      </c>
      <c r="F149" s="131"/>
      <c r="J149" s="163"/>
      <c r="K149" s="251"/>
    </row>
    <row r="150" spans="1:11" ht="14.5" x14ac:dyDescent="0.35">
      <c r="A150" s="284" t="str">
        <f t="shared" si="2"/>
        <v xml:space="preserve">P330084 </v>
      </c>
      <c r="B150" s="278" t="s">
        <v>654</v>
      </c>
      <c r="C150" s="279">
        <v>60030</v>
      </c>
      <c r="D150" s="279"/>
      <c r="E150" s="279">
        <f>XledgerData[[#This Row],[Column1]]+XledgerData[[#This Row],[Year to date]]</f>
        <v>60030</v>
      </c>
      <c r="F150" s="131"/>
      <c r="J150" s="163"/>
      <c r="K150" s="251"/>
    </row>
    <row r="151" spans="1:11" ht="14.5" x14ac:dyDescent="0.35">
      <c r="A151" s="225" t="str">
        <f t="shared" si="2"/>
        <v xml:space="preserve">P330042 </v>
      </c>
      <c r="B151" s="226" t="s">
        <v>633</v>
      </c>
      <c r="C151" s="227">
        <v>13805</v>
      </c>
      <c r="D151" s="227"/>
      <c r="E151" s="227">
        <f>XledgerData[[#This Row],[Column1]]+XledgerData[[#This Row],[Year to date]]</f>
        <v>13805</v>
      </c>
      <c r="F151" s="144"/>
      <c r="J151" s="163"/>
      <c r="K151" s="251"/>
    </row>
    <row r="152" spans="1:11" ht="14.5" x14ac:dyDescent="0.35">
      <c r="A152" s="169" t="str">
        <f t="shared" si="2"/>
        <v xml:space="preserve">P330481 </v>
      </c>
      <c r="B152" s="200" t="s">
        <v>1575</v>
      </c>
      <c r="C152" s="182">
        <v>4205</v>
      </c>
      <c r="D152" s="182">
        <v>800</v>
      </c>
      <c r="E152" s="182">
        <f>XledgerData[[#This Row],[Column1]]+XledgerData[[#This Row],[Year to date]]</f>
        <v>5005</v>
      </c>
      <c r="F152" s="144"/>
      <c r="J152" s="163"/>
      <c r="K152" s="251"/>
    </row>
    <row r="153" spans="1:11" ht="14.5" x14ac:dyDescent="0.35">
      <c r="A153" s="218" t="str">
        <f t="shared" si="2"/>
        <v xml:space="preserve">P330244 </v>
      </c>
      <c r="B153" s="229" t="s">
        <v>728</v>
      </c>
      <c r="C153" s="219">
        <v>14102</v>
      </c>
      <c r="D153" s="219"/>
      <c r="E153" s="219">
        <f>XledgerData[[#This Row],[Column1]]+XledgerData[[#This Row],[Year to date]]</f>
        <v>14102</v>
      </c>
      <c r="F153" s="131"/>
      <c r="J153" s="163"/>
      <c r="K153" s="251"/>
    </row>
    <row r="154" spans="1:11" ht="14.5" x14ac:dyDescent="0.35">
      <c r="A154" s="239" t="str">
        <f t="shared" si="2"/>
        <v xml:space="preserve">P330443 </v>
      </c>
      <c r="B154" s="240" t="s">
        <v>806</v>
      </c>
      <c r="C154" s="241">
        <v>14040</v>
      </c>
      <c r="D154" s="241">
        <v>500</v>
      </c>
      <c r="E154" s="241">
        <f>XledgerData[[#This Row],[Column1]]+XledgerData[[#This Row],[Year to date]]</f>
        <v>14540</v>
      </c>
      <c r="F154" s="131"/>
      <c r="J154" s="163"/>
      <c r="K154" s="251"/>
    </row>
    <row r="155" spans="1:11" ht="14.5" x14ac:dyDescent="0.35">
      <c r="A155" s="286" t="str">
        <f t="shared" si="2"/>
        <v xml:space="preserve">P330407 </v>
      </c>
      <c r="B155" s="248" t="s">
        <v>789</v>
      </c>
      <c r="C155" s="249">
        <v>2800</v>
      </c>
      <c r="D155" s="249">
        <v>1363</v>
      </c>
      <c r="E155" s="249">
        <f>XledgerData[[#This Row],[Column1]]+XledgerData[[#This Row],[Year to date]]</f>
        <v>4163</v>
      </c>
      <c r="F155" s="131"/>
      <c r="J155" s="163"/>
      <c r="K155" s="251"/>
    </row>
    <row r="156" spans="1:11" ht="14.5" x14ac:dyDescent="0.35">
      <c r="A156" s="232" t="str">
        <f t="shared" si="2"/>
        <v xml:space="preserve">P330369 </v>
      </c>
      <c r="B156" s="233" t="s">
        <v>1580</v>
      </c>
      <c r="C156" s="234">
        <v>3137</v>
      </c>
      <c r="D156" s="234"/>
      <c r="E156" s="234">
        <f>XledgerData[[#This Row],[Column1]]+XledgerData[[#This Row],[Year to date]]</f>
        <v>3137</v>
      </c>
      <c r="F156" s="144"/>
      <c r="J156" s="163"/>
      <c r="K156" s="251"/>
    </row>
    <row r="157" spans="1:11" ht="14.5" x14ac:dyDescent="0.35">
      <c r="A157" s="259" t="str">
        <f t="shared" si="2"/>
        <v xml:space="preserve">P330137 </v>
      </c>
      <c r="B157" s="257" t="s">
        <v>683</v>
      </c>
      <c r="C157" s="258">
        <v>13380</v>
      </c>
      <c r="D157" s="258"/>
      <c r="E157" s="258">
        <f>XledgerData[[#This Row],[Column1]]+XledgerData[[#This Row],[Year to date]]</f>
        <v>13380</v>
      </c>
      <c r="F157" s="144"/>
      <c r="J157" s="163"/>
      <c r="K157" s="251"/>
    </row>
    <row r="158" spans="1:11" ht="14.5" x14ac:dyDescent="0.35">
      <c r="A158" s="272" t="str">
        <f t="shared" si="2"/>
        <v xml:space="preserve">P330226 </v>
      </c>
      <c r="B158" s="229" t="s">
        <v>719</v>
      </c>
      <c r="C158" s="219">
        <v>12144</v>
      </c>
      <c r="D158" s="219">
        <v>1096</v>
      </c>
      <c r="E158" s="219">
        <f>XledgerData[[#This Row],[Column1]]+XledgerData[[#This Row],[Year to date]]</f>
        <v>13240</v>
      </c>
      <c r="F158" s="144"/>
      <c r="J158" s="163"/>
      <c r="K158" s="251"/>
    </row>
    <row r="159" spans="1:11" s="28" customFormat="1" ht="14.5" x14ac:dyDescent="0.35">
      <c r="A159" s="296" t="str">
        <f t="shared" si="2"/>
        <v xml:space="preserve">P330355 </v>
      </c>
      <c r="B159" s="199" t="s">
        <v>1614</v>
      </c>
      <c r="C159" s="178">
        <v>0</v>
      </c>
      <c r="D159" s="178">
        <v>1000</v>
      </c>
      <c r="E159" s="178">
        <f>XledgerData[[#This Row],[Column1]]+XledgerData[[#This Row],[Year to date]]</f>
        <v>1000</v>
      </c>
      <c r="F159" s="144"/>
      <c r="J159" s="163"/>
      <c r="K159" s="251"/>
    </row>
    <row r="160" spans="1:11" ht="14.5" x14ac:dyDescent="0.35">
      <c r="A160" s="132" t="str">
        <f t="shared" si="2"/>
        <v xml:space="preserve">P330112 </v>
      </c>
      <c r="B160" s="194" t="s">
        <v>667</v>
      </c>
      <c r="C160" s="170">
        <v>12200</v>
      </c>
      <c r="D160" s="170">
        <v>600</v>
      </c>
      <c r="E160" s="170">
        <f>XledgerData[[#This Row],[Column1]]+XledgerData[[#This Row],[Year to date]]</f>
        <v>12800</v>
      </c>
      <c r="F160" s="131"/>
      <c r="J160" s="163"/>
      <c r="K160" s="251"/>
    </row>
    <row r="161" spans="1:11" ht="14.5" x14ac:dyDescent="0.35">
      <c r="A161" s="260" t="str">
        <f t="shared" si="2"/>
        <v xml:space="preserve">P330279 </v>
      </c>
      <c r="B161" s="261" t="s">
        <v>741</v>
      </c>
      <c r="C161" s="262">
        <v>4068</v>
      </c>
      <c r="D161" s="262"/>
      <c r="E161" s="262">
        <f>XledgerData[[#This Row],[Column1]]+XledgerData[[#This Row],[Year to date]]</f>
        <v>4068</v>
      </c>
      <c r="F161" s="131"/>
      <c r="J161" s="163"/>
      <c r="K161" s="251"/>
    </row>
    <row r="162" spans="1:11" ht="14.5" x14ac:dyDescent="0.35">
      <c r="A162" s="267" t="str">
        <f t="shared" si="2"/>
        <v xml:space="preserve">P330057 </v>
      </c>
      <c r="B162" s="230" t="s">
        <v>642</v>
      </c>
      <c r="C162" s="231">
        <v>12760</v>
      </c>
      <c r="D162" s="231"/>
      <c r="E162" s="231">
        <f>XledgerData[[#This Row],[Column1]]+XledgerData[[#This Row],[Year to date]]</f>
        <v>12760</v>
      </c>
      <c r="F162" s="131"/>
      <c r="J162" s="28"/>
      <c r="K162" s="162"/>
    </row>
    <row r="163" spans="1:11" ht="14.5" x14ac:dyDescent="0.35">
      <c r="A163" s="161" t="str">
        <f t="shared" si="2"/>
        <v xml:space="preserve">P330475 </v>
      </c>
      <c r="B163" s="216" t="s">
        <v>1450</v>
      </c>
      <c r="C163" s="235">
        <v>8154</v>
      </c>
      <c r="D163" s="235"/>
      <c r="E163" s="235">
        <f>XledgerData[[#This Row],[Column1]]+XledgerData[[#This Row],[Year to date]]</f>
        <v>8154</v>
      </c>
      <c r="F163" s="131"/>
      <c r="J163" s="163"/>
      <c r="K163" s="251"/>
    </row>
    <row r="164" spans="1:11" ht="14.5" x14ac:dyDescent="0.35">
      <c r="A164" s="138" t="str">
        <f t="shared" si="2"/>
        <v xml:space="preserve">P330296 </v>
      </c>
      <c r="B164" s="255" t="s">
        <v>751</v>
      </c>
      <c r="C164" s="256">
        <v>57428</v>
      </c>
      <c r="D164" s="256"/>
      <c r="E164" s="256">
        <f>XledgerData[[#This Row],[Column1]]+XledgerData[[#This Row],[Year to date]]</f>
        <v>57428</v>
      </c>
      <c r="F164" s="144"/>
      <c r="J164" s="28"/>
      <c r="K164" s="162"/>
    </row>
    <row r="165" spans="1:11" ht="14.5" x14ac:dyDescent="0.35">
      <c r="A165" s="232" t="str">
        <f t="shared" si="2"/>
        <v xml:space="preserve">P330385 </v>
      </c>
      <c r="B165" s="233" t="s">
        <v>778</v>
      </c>
      <c r="C165" s="234">
        <v>16259</v>
      </c>
      <c r="D165" s="234"/>
      <c r="E165" s="234">
        <f>XledgerData[[#This Row],[Column1]]+XledgerData[[#This Row],[Year to date]]</f>
        <v>16259</v>
      </c>
      <c r="F165" s="131"/>
      <c r="J165" s="28"/>
      <c r="K165" s="162"/>
    </row>
    <row r="166" spans="1:11" ht="14.5" x14ac:dyDescent="0.35">
      <c r="A166" s="153" t="str">
        <f t="shared" si="2"/>
        <v xml:space="preserve">P330052 </v>
      </c>
      <c r="B166" s="202" t="s">
        <v>1544</v>
      </c>
      <c r="C166" s="185">
        <v>7000</v>
      </c>
      <c r="D166" s="185"/>
      <c r="E166" s="185">
        <f>XledgerData[[#This Row],[Column1]]+XledgerData[[#This Row],[Year to date]]</f>
        <v>7000</v>
      </c>
      <c r="F166" s="131"/>
      <c r="J166" s="163"/>
      <c r="K166" s="251"/>
    </row>
    <row r="167" spans="1:11" ht="14.5" x14ac:dyDescent="0.35">
      <c r="A167" s="267" t="str">
        <f t="shared" si="2"/>
        <v xml:space="preserve">P330058 </v>
      </c>
      <c r="B167" s="230" t="s">
        <v>1393</v>
      </c>
      <c r="C167" s="231">
        <v>11227</v>
      </c>
      <c r="D167" s="231"/>
      <c r="E167" s="231">
        <f>XledgerData[[#This Row],[Column1]]+XledgerData[[#This Row],[Year to date]]</f>
        <v>11227</v>
      </c>
      <c r="F167" s="144"/>
      <c r="J167" s="28"/>
      <c r="K167" s="162"/>
    </row>
    <row r="168" spans="1:11" ht="14.5" x14ac:dyDescent="0.35">
      <c r="A168" s="143" t="str">
        <f t="shared" si="2"/>
        <v xml:space="preserve">P330341 </v>
      </c>
      <c r="B168" s="199" t="s">
        <v>1481</v>
      </c>
      <c r="C168" s="178">
        <v>1750</v>
      </c>
      <c r="D168" s="178"/>
      <c r="E168" s="178">
        <f>XledgerData[[#This Row],[Column1]]+XledgerData[[#This Row],[Year to date]]</f>
        <v>1750</v>
      </c>
      <c r="F168" s="131"/>
      <c r="J168" s="163"/>
      <c r="K168" s="251"/>
    </row>
    <row r="169" spans="1:11" ht="14.5" x14ac:dyDescent="0.35">
      <c r="A169" s="259" t="str">
        <f t="shared" si="2"/>
        <v xml:space="preserve">P330122 </v>
      </c>
      <c r="B169" s="257" t="s">
        <v>673</v>
      </c>
      <c r="C169" s="258">
        <v>10329</v>
      </c>
      <c r="D169" s="258"/>
      <c r="E169" s="258">
        <f>XledgerData[[#This Row],[Column1]]+XledgerData[[#This Row],[Year to date]]</f>
        <v>10329</v>
      </c>
      <c r="F169" s="131"/>
      <c r="J169" s="163"/>
      <c r="K169" s="251"/>
    </row>
    <row r="170" spans="1:11" ht="14.5" x14ac:dyDescent="0.35">
      <c r="A170" s="157" t="str">
        <f t="shared" si="2"/>
        <v xml:space="preserve">P330261 </v>
      </c>
      <c r="B170" s="197" t="s">
        <v>734</v>
      </c>
      <c r="C170" s="175">
        <v>12000</v>
      </c>
      <c r="D170" s="175"/>
      <c r="E170" s="175">
        <f>XledgerData[[#This Row],[Column1]]+XledgerData[[#This Row],[Year to date]]</f>
        <v>12000</v>
      </c>
      <c r="F170" s="131"/>
      <c r="J170" s="163"/>
      <c r="K170" s="251"/>
    </row>
    <row r="171" spans="1:11" ht="14.5" x14ac:dyDescent="0.35">
      <c r="A171" s="156" t="str">
        <f t="shared" si="2"/>
        <v xml:space="preserve">P330452 </v>
      </c>
      <c r="B171" s="208" t="s">
        <v>1587</v>
      </c>
      <c r="C171" s="181">
        <v>3336</v>
      </c>
      <c r="D171" s="181"/>
      <c r="E171" s="181">
        <f>XledgerData[[#This Row],[Column1]]+XledgerData[[#This Row],[Year to date]]</f>
        <v>3336</v>
      </c>
      <c r="F171" s="131"/>
      <c r="J171" s="163"/>
      <c r="K171" s="251"/>
    </row>
    <row r="172" spans="1:11" ht="14.5" x14ac:dyDescent="0.35">
      <c r="A172" s="124" t="str">
        <f t="shared" si="2"/>
        <v xml:space="preserve">P330260 </v>
      </c>
      <c r="B172" s="261" t="s">
        <v>1426</v>
      </c>
      <c r="C172" s="262">
        <v>6272</v>
      </c>
      <c r="D172" s="262"/>
      <c r="E172" s="262">
        <f>XledgerData[[#This Row],[Column1]]+XledgerData[[#This Row],[Year to date]]</f>
        <v>6272</v>
      </c>
      <c r="F172" s="131"/>
      <c r="J172" s="28"/>
      <c r="K172" s="162"/>
    </row>
    <row r="173" spans="1:11" ht="14.5" x14ac:dyDescent="0.35">
      <c r="A173" s="135" t="str">
        <f t="shared" si="2"/>
        <v xml:space="preserve">P330006 </v>
      </c>
      <c r="B173" s="203" t="s">
        <v>1354</v>
      </c>
      <c r="C173" s="186">
        <v>6000</v>
      </c>
      <c r="D173" s="186">
        <v>750</v>
      </c>
      <c r="E173" s="186">
        <f>XledgerData[[#This Row],[Column1]]+XledgerData[[#This Row],[Year to date]]</f>
        <v>6750</v>
      </c>
      <c r="F173" s="131"/>
      <c r="J173" s="163"/>
      <c r="K173" s="251"/>
    </row>
    <row r="174" spans="1:11" ht="14.5" x14ac:dyDescent="0.35">
      <c r="A174" s="220" t="str">
        <f t="shared" si="2"/>
        <v xml:space="preserve">P330165 </v>
      </c>
      <c r="B174" s="228" t="s">
        <v>697</v>
      </c>
      <c r="C174" s="221">
        <v>11421</v>
      </c>
      <c r="D174" s="221"/>
      <c r="E174" s="221">
        <f>XledgerData[[#This Row],[Column1]]+XledgerData[[#This Row],[Year to date]]</f>
        <v>11421</v>
      </c>
      <c r="F174" s="144"/>
      <c r="J174" s="163"/>
      <c r="K174" s="251"/>
    </row>
    <row r="175" spans="1:11" ht="14.5" x14ac:dyDescent="0.35">
      <c r="A175" s="236" t="str">
        <f t="shared" si="2"/>
        <v xml:space="preserve">P330008 </v>
      </c>
      <c r="B175" s="237" t="s">
        <v>614</v>
      </c>
      <c r="C175" s="238">
        <v>5000</v>
      </c>
      <c r="D175" s="238"/>
      <c r="E175" s="238">
        <f>XledgerData[[#This Row],[Column1]]+XledgerData[[#This Row],[Year to date]]</f>
        <v>5000</v>
      </c>
      <c r="F175" s="144"/>
      <c r="J175" s="163"/>
      <c r="K175" s="251"/>
    </row>
    <row r="176" spans="1:11" ht="14.5" x14ac:dyDescent="0.35">
      <c r="A176" s="287" t="str">
        <f t="shared" si="2"/>
        <v xml:space="preserve">P330029 </v>
      </c>
      <c r="B176" s="237" t="s">
        <v>625</v>
      </c>
      <c r="C176" s="238">
        <v>4200</v>
      </c>
      <c r="D176" s="238"/>
      <c r="E176" s="238">
        <f>XledgerData[[#This Row],[Column1]]+XledgerData[[#This Row],[Year to date]]</f>
        <v>4200</v>
      </c>
      <c r="F176" s="131"/>
      <c r="J176" s="163"/>
      <c r="K176" s="251"/>
    </row>
    <row r="177" spans="1:11" ht="14.5" x14ac:dyDescent="0.35">
      <c r="A177" s="218" t="str">
        <f t="shared" si="2"/>
        <v xml:space="preserve">P330231 </v>
      </c>
      <c r="B177" s="229" t="s">
        <v>722</v>
      </c>
      <c r="C177" s="219">
        <v>19290</v>
      </c>
      <c r="D177" s="219"/>
      <c r="E177" s="219">
        <f>XledgerData[[#This Row],[Column1]]+XledgerData[[#This Row],[Year to date]]</f>
        <v>19290</v>
      </c>
      <c r="F177" s="131"/>
      <c r="J177" s="163"/>
      <c r="K177" s="251"/>
    </row>
    <row r="178" spans="1:11" ht="14.5" x14ac:dyDescent="0.35">
      <c r="A178" s="225" t="str">
        <f t="shared" si="2"/>
        <v xml:space="preserve">P330032 </v>
      </c>
      <c r="B178" s="226" t="s">
        <v>626</v>
      </c>
      <c r="C178" s="227">
        <v>10412</v>
      </c>
      <c r="D178" s="227"/>
      <c r="E178" s="227">
        <f>XledgerData[[#This Row],[Column1]]+XledgerData[[#This Row],[Year to date]]</f>
        <v>10412</v>
      </c>
      <c r="F178" s="144"/>
      <c r="J178" s="163"/>
      <c r="K178" s="251"/>
    </row>
    <row r="179" spans="1:11" ht="14.5" x14ac:dyDescent="0.35">
      <c r="A179" s="153" t="str">
        <f t="shared" si="2"/>
        <v xml:space="preserve">P330065 </v>
      </c>
      <c r="B179" s="202" t="s">
        <v>1396</v>
      </c>
      <c r="C179" s="185">
        <v>10530</v>
      </c>
      <c r="D179" s="185"/>
      <c r="E179" s="185">
        <f>XledgerData[[#This Row],[Column1]]+XledgerData[[#This Row],[Year to date]]</f>
        <v>10530</v>
      </c>
      <c r="F179" s="131"/>
      <c r="J179" s="163"/>
      <c r="K179" s="251"/>
    </row>
    <row r="180" spans="1:11" ht="14.5" x14ac:dyDescent="0.35">
      <c r="A180" s="218" t="str">
        <f t="shared" si="2"/>
        <v xml:space="preserve">P330233 </v>
      </c>
      <c r="B180" s="229" t="s">
        <v>724</v>
      </c>
      <c r="C180" s="219">
        <v>9932</v>
      </c>
      <c r="D180" s="219"/>
      <c r="E180" s="219">
        <f>XledgerData[[#This Row],[Column1]]+XledgerData[[#This Row],[Year to date]]</f>
        <v>9932</v>
      </c>
      <c r="F180" s="131"/>
      <c r="J180" s="163"/>
      <c r="K180" s="251"/>
    </row>
    <row r="181" spans="1:11" ht="14.5" x14ac:dyDescent="0.35">
      <c r="A181" s="259" t="str">
        <f t="shared" ref="A181:A244" si="3">LEFT(B181,FIND(" ",B181,1))</f>
        <v xml:space="preserve">P330120 </v>
      </c>
      <c r="B181" s="257" t="s">
        <v>1399</v>
      </c>
      <c r="C181" s="258">
        <v>9828</v>
      </c>
      <c r="D181" s="258"/>
      <c r="E181" s="258">
        <f>XledgerData[[#This Row],[Column1]]+XledgerData[[#This Row],[Year to date]]</f>
        <v>9828</v>
      </c>
      <c r="F181" s="131"/>
      <c r="J181" s="163"/>
      <c r="K181" s="251"/>
    </row>
    <row r="182" spans="1:11" ht="14.5" x14ac:dyDescent="0.35">
      <c r="A182" s="161" t="str">
        <f t="shared" si="3"/>
        <v xml:space="preserve">P330463 </v>
      </c>
      <c r="B182" s="216" t="s">
        <v>820</v>
      </c>
      <c r="C182" s="235">
        <v>11972.6</v>
      </c>
      <c r="D182" s="235"/>
      <c r="E182" s="235">
        <f>XledgerData[[#This Row],[Column1]]+XledgerData[[#This Row],[Year to date]]</f>
        <v>11972.6</v>
      </c>
      <c r="F182" s="131"/>
      <c r="J182" s="163"/>
      <c r="K182" s="251"/>
    </row>
    <row r="183" spans="1:11" s="28" customFormat="1" ht="14.5" x14ac:dyDescent="0.35">
      <c r="A183" s="166" t="str">
        <f t="shared" si="3"/>
        <v xml:space="preserve">P330330 </v>
      </c>
      <c r="B183" s="217" t="s">
        <v>763</v>
      </c>
      <c r="C183" s="268">
        <v>14000</v>
      </c>
      <c r="D183" s="268"/>
      <c r="E183" s="268">
        <f>XledgerData[[#This Row],[Column1]]+XledgerData[[#This Row],[Year to date]]</f>
        <v>14000</v>
      </c>
      <c r="F183" s="131"/>
      <c r="J183" s="163"/>
      <c r="K183" s="251"/>
    </row>
    <row r="184" spans="1:11" ht="14.5" x14ac:dyDescent="0.35">
      <c r="A184" s="263" t="str">
        <f t="shared" si="3"/>
        <v xml:space="preserve">P330104 </v>
      </c>
      <c r="B184" s="252" t="s">
        <v>1359</v>
      </c>
      <c r="C184" s="222">
        <v>17260</v>
      </c>
      <c r="D184" s="222"/>
      <c r="E184" s="222">
        <f>XledgerData[[#This Row],[Column1]]+XledgerData[[#This Row],[Year to date]]</f>
        <v>17260</v>
      </c>
      <c r="F184" s="131"/>
      <c r="J184" s="28"/>
      <c r="K184" s="162"/>
    </row>
    <row r="185" spans="1:11" ht="14.5" x14ac:dyDescent="0.35">
      <c r="A185" s="239" t="str">
        <f t="shared" si="3"/>
        <v xml:space="preserve">P330439 </v>
      </c>
      <c r="B185" s="240" t="s">
        <v>804</v>
      </c>
      <c r="C185" s="241">
        <v>9588</v>
      </c>
      <c r="D185" s="241"/>
      <c r="E185" s="241">
        <f>XledgerData[[#This Row],[Column1]]+XledgerData[[#This Row],[Year to date]]</f>
        <v>9588</v>
      </c>
      <c r="F185" s="144"/>
      <c r="J185" s="28"/>
      <c r="K185" s="162"/>
    </row>
    <row r="186" spans="1:11" ht="14.5" x14ac:dyDescent="0.35">
      <c r="A186" s="166" t="str">
        <f t="shared" si="3"/>
        <v xml:space="preserve">P330310 </v>
      </c>
      <c r="B186" s="217" t="s">
        <v>757</v>
      </c>
      <c r="C186" s="268">
        <v>9038</v>
      </c>
      <c r="D186" s="268"/>
      <c r="E186" s="268">
        <f>XledgerData[[#This Row],[Column1]]+XledgerData[[#This Row],[Year to date]]</f>
        <v>9038</v>
      </c>
      <c r="F186" s="131"/>
      <c r="J186" s="28"/>
      <c r="K186" s="251"/>
    </row>
    <row r="187" spans="1:11" s="28" customFormat="1" ht="14.5" x14ac:dyDescent="0.35">
      <c r="A187" s="236" t="str">
        <f t="shared" si="3"/>
        <v xml:space="preserve">P330026 </v>
      </c>
      <c r="B187" s="237" t="s">
        <v>623</v>
      </c>
      <c r="C187" s="238">
        <v>9116</v>
      </c>
      <c r="D187" s="238"/>
      <c r="E187" s="238">
        <f>XledgerData[[#This Row],[Column1]]+XledgerData[[#This Row],[Year to date]]</f>
        <v>9116</v>
      </c>
      <c r="F187" s="131"/>
      <c r="J187" s="163"/>
      <c r="K187" s="251"/>
    </row>
    <row r="188" spans="1:11" ht="14.5" x14ac:dyDescent="0.35">
      <c r="A188" s="269" t="str">
        <f t="shared" si="3"/>
        <v xml:space="preserve">P330281 </v>
      </c>
      <c r="B188" s="261" t="s">
        <v>743</v>
      </c>
      <c r="C188" s="262">
        <v>12184</v>
      </c>
      <c r="D188" s="262"/>
      <c r="E188" s="262">
        <f>XledgerData[[#This Row],[Column1]]+XledgerData[[#This Row],[Year to date]]</f>
        <v>12184</v>
      </c>
      <c r="F188" s="131"/>
      <c r="J188" s="163"/>
      <c r="K188" s="251"/>
    </row>
    <row r="189" spans="1:11" ht="14.5" x14ac:dyDescent="0.35">
      <c r="A189" s="247" t="str">
        <f t="shared" si="3"/>
        <v xml:space="preserve">P330399 </v>
      </c>
      <c r="B189" s="248" t="s">
        <v>785</v>
      </c>
      <c r="C189" s="249">
        <v>9000</v>
      </c>
      <c r="D189" s="249">
        <v>1050</v>
      </c>
      <c r="E189" s="249">
        <f>XledgerData[[#This Row],[Column1]]+XledgerData[[#This Row],[Year to date]]</f>
        <v>10050</v>
      </c>
      <c r="F189" s="131"/>
      <c r="J189" s="163"/>
      <c r="K189" s="251"/>
    </row>
    <row r="190" spans="1:11" ht="14.5" x14ac:dyDescent="0.35">
      <c r="A190" s="250" t="str">
        <f t="shared" si="3"/>
        <v xml:space="preserve">P330383 </v>
      </c>
      <c r="B190" s="233" t="s">
        <v>776</v>
      </c>
      <c r="C190" s="234">
        <v>2223</v>
      </c>
      <c r="D190" s="234">
        <v>741</v>
      </c>
      <c r="E190" s="234">
        <f>XledgerData[[#This Row],[Column1]]+XledgerData[[#This Row],[Year to date]]</f>
        <v>2964</v>
      </c>
      <c r="F190" s="131"/>
      <c r="J190" s="28"/>
      <c r="K190" s="162"/>
    </row>
    <row r="191" spans="1:11" ht="14.5" x14ac:dyDescent="0.35">
      <c r="A191" s="166" t="str">
        <f t="shared" si="3"/>
        <v xml:space="preserve">P330335 </v>
      </c>
      <c r="B191" s="217" t="s">
        <v>765</v>
      </c>
      <c r="C191" s="268">
        <v>12034</v>
      </c>
      <c r="D191" s="268"/>
      <c r="E191" s="268">
        <f>XledgerData[[#This Row],[Column1]]+XledgerData[[#This Row],[Year to date]]</f>
        <v>12034</v>
      </c>
      <c r="F191" s="131"/>
      <c r="J191" s="163"/>
      <c r="K191" s="251"/>
    </row>
    <row r="192" spans="1:11" ht="14.5" x14ac:dyDescent="0.35">
      <c r="A192" s="250" t="str">
        <f t="shared" si="3"/>
        <v xml:space="preserve">P330356 </v>
      </c>
      <c r="B192" s="233" t="s">
        <v>1563</v>
      </c>
      <c r="C192" s="234">
        <v>3223</v>
      </c>
      <c r="D192" s="234">
        <v>0</v>
      </c>
      <c r="E192" s="234">
        <f>XledgerData[[#This Row],[Column1]]+XledgerData[[#This Row],[Year to date]]</f>
        <v>3223</v>
      </c>
      <c r="F192" s="144"/>
      <c r="J192" s="163"/>
      <c r="K192" s="251"/>
    </row>
    <row r="193" spans="1:11" s="28" customFormat="1" ht="14.5" x14ac:dyDescent="0.35">
      <c r="A193" s="239" t="str">
        <f t="shared" si="3"/>
        <v xml:space="preserve">P330453 </v>
      </c>
      <c r="B193" s="240" t="s">
        <v>811</v>
      </c>
      <c r="C193" s="241">
        <v>8820</v>
      </c>
      <c r="D193" s="241"/>
      <c r="E193" s="241">
        <f>XledgerData[[#This Row],[Column1]]+XledgerData[[#This Row],[Year to date]]</f>
        <v>8820</v>
      </c>
      <c r="F193" s="131"/>
      <c r="J193" s="163"/>
      <c r="K193" s="251"/>
    </row>
    <row r="194" spans="1:11" ht="14.5" x14ac:dyDescent="0.35">
      <c r="A194" s="267" t="str">
        <f t="shared" si="3"/>
        <v xml:space="preserve">P330066 </v>
      </c>
      <c r="B194" s="230" t="s">
        <v>644</v>
      </c>
      <c r="C194" s="231">
        <v>4046</v>
      </c>
      <c r="D194" s="231"/>
      <c r="E194" s="231">
        <f>XledgerData[[#This Row],[Column1]]+XledgerData[[#This Row],[Year to date]]</f>
        <v>4046</v>
      </c>
      <c r="F194" s="131"/>
      <c r="J194" s="163"/>
      <c r="K194" s="251"/>
    </row>
    <row r="195" spans="1:11" ht="14.5" x14ac:dyDescent="0.35">
      <c r="A195" s="158" t="str">
        <f t="shared" si="3"/>
        <v xml:space="preserve">P330329 </v>
      </c>
      <c r="B195" s="205" t="s">
        <v>1480</v>
      </c>
      <c r="C195" s="174">
        <v>2200</v>
      </c>
      <c r="D195" s="174"/>
      <c r="E195" s="174">
        <f>XledgerData[[#This Row],[Column1]]+XledgerData[[#This Row],[Year to date]]</f>
        <v>2200</v>
      </c>
      <c r="F195" s="131"/>
      <c r="J195" s="163"/>
      <c r="K195" s="251"/>
    </row>
    <row r="196" spans="1:11" ht="14.5" x14ac:dyDescent="0.35">
      <c r="A196" s="293" t="str">
        <f t="shared" si="3"/>
        <v xml:space="preserve">P330414 </v>
      </c>
      <c r="B196" s="243" t="s">
        <v>1557</v>
      </c>
      <c r="C196" s="244">
        <v>4872</v>
      </c>
      <c r="D196" s="244"/>
      <c r="E196" s="244">
        <f>XledgerData[[#This Row],[Column1]]+XledgerData[[#This Row],[Year to date]]</f>
        <v>4872</v>
      </c>
      <c r="F196" s="131"/>
      <c r="J196" s="28"/>
      <c r="K196" s="162"/>
    </row>
    <row r="197" spans="1:11" ht="14.5" x14ac:dyDescent="0.35">
      <c r="A197" s="264" t="str">
        <f t="shared" si="3"/>
        <v xml:space="preserve">P330200 </v>
      </c>
      <c r="B197" s="265" t="s">
        <v>1411</v>
      </c>
      <c r="C197" s="266">
        <v>6517</v>
      </c>
      <c r="D197" s="266"/>
      <c r="E197" s="266">
        <f>XledgerData[[#This Row],[Column1]]+XledgerData[[#This Row],[Year to date]]</f>
        <v>6517</v>
      </c>
      <c r="F197" s="131"/>
      <c r="J197" s="163"/>
      <c r="K197" s="251"/>
    </row>
    <row r="198" spans="1:11" ht="14.5" x14ac:dyDescent="0.35">
      <c r="A198" s="236" t="str">
        <f t="shared" si="3"/>
        <v xml:space="preserve">P330025 </v>
      </c>
      <c r="B198" s="237" t="s">
        <v>1390</v>
      </c>
      <c r="C198" s="238">
        <v>6650</v>
      </c>
      <c r="D198" s="238">
        <v>500</v>
      </c>
      <c r="E198" s="238">
        <f>XledgerData[[#This Row],[Column1]]+XledgerData[[#This Row],[Year to date]]</f>
        <v>7150</v>
      </c>
      <c r="F198" s="131"/>
      <c r="J198" s="163"/>
      <c r="K198" s="251"/>
    </row>
    <row r="199" spans="1:11" ht="14.5" x14ac:dyDescent="0.35">
      <c r="A199" s="260" t="str">
        <f t="shared" si="3"/>
        <v xml:space="preserve">P330273 </v>
      </c>
      <c r="B199" s="261" t="s">
        <v>739</v>
      </c>
      <c r="C199" s="262">
        <v>10100</v>
      </c>
      <c r="D199" s="262"/>
      <c r="E199" s="262">
        <f>XledgerData[[#This Row],[Column1]]+XledgerData[[#This Row],[Year to date]]</f>
        <v>10100</v>
      </c>
      <c r="F199" s="131"/>
      <c r="J199" s="163"/>
      <c r="K199" s="251"/>
    </row>
    <row r="200" spans="1:11" ht="14.5" x14ac:dyDescent="0.35">
      <c r="A200" s="225" t="str">
        <f t="shared" si="3"/>
        <v xml:space="preserve">P330040 </v>
      </c>
      <c r="B200" s="226" t="s">
        <v>631</v>
      </c>
      <c r="C200" s="227">
        <v>7447</v>
      </c>
      <c r="D200" s="227"/>
      <c r="E200" s="227">
        <f>XledgerData[[#This Row],[Column1]]+XledgerData[[#This Row],[Year to date]]</f>
        <v>7447</v>
      </c>
      <c r="F200" s="131"/>
      <c r="J200" s="163"/>
      <c r="K200" s="251"/>
    </row>
    <row r="201" spans="1:11" s="28" customFormat="1" ht="14.5" x14ac:dyDescent="0.35">
      <c r="A201" s="332" t="str">
        <f t="shared" si="3"/>
        <v xml:space="preserve">P330181 </v>
      </c>
      <c r="B201" s="223" t="s">
        <v>705</v>
      </c>
      <c r="C201" s="224">
        <v>7304</v>
      </c>
      <c r="D201" s="224"/>
      <c r="E201" s="224">
        <f>XledgerData[[#This Row],[Column1]]+XledgerData[[#This Row],[Year to date]]</f>
        <v>7304</v>
      </c>
      <c r="F201" s="131"/>
      <c r="J201" s="163"/>
      <c r="K201" s="251"/>
    </row>
    <row r="202" spans="1:11" ht="14.5" x14ac:dyDescent="0.35">
      <c r="A202" s="328" t="str">
        <f t="shared" si="3"/>
        <v xml:space="preserve">P330009 </v>
      </c>
      <c r="B202" s="237" t="s">
        <v>615</v>
      </c>
      <c r="C202" s="238">
        <v>12089</v>
      </c>
      <c r="D202" s="238"/>
      <c r="E202" s="238">
        <f>XledgerData[[#This Row],[Column1]]+XledgerData[[#This Row],[Year to date]]</f>
        <v>12089</v>
      </c>
      <c r="F202" s="131"/>
      <c r="J202" s="163"/>
      <c r="K202" s="251"/>
    </row>
    <row r="203" spans="1:11" ht="14.5" x14ac:dyDescent="0.35">
      <c r="A203" s="242" t="str">
        <f t="shared" si="3"/>
        <v xml:space="preserve">P330427 </v>
      </c>
      <c r="B203" s="243" t="s">
        <v>798</v>
      </c>
      <c r="C203" s="244">
        <v>7275</v>
      </c>
      <c r="D203" s="244"/>
      <c r="E203" s="244">
        <f>XledgerData[[#This Row],[Column1]]+XledgerData[[#This Row],[Year to date]]</f>
        <v>7275</v>
      </c>
      <c r="F203" s="131"/>
      <c r="J203" s="163"/>
      <c r="K203" s="251"/>
    </row>
    <row r="204" spans="1:11" s="28" customFormat="1" ht="14.5" x14ac:dyDescent="0.35">
      <c r="A204" s="225" t="str">
        <f t="shared" si="3"/>
        <v xml:space="preserve">P330039 </v>
      </c>
      <c r="B204" s="226" t="s">
        <v>630</v>
      </c>
      <c r="C204" s="227">
        <v>19842</v>
      </c>
      <c r="D204" s="227"/>
      <c r="E204" s="227">
        <f>XledgerData[[#This Row],[Column1]]+XledgerData[[#This Row],[Year to date]]</f>
        <v>19842</v>
      </c>
      <c r="F204" s="131"/>
      <c r="J204" s="163"/>
      <c r="K204" s="251"/>
    </row>
    <row r="205" spans="1:11" ht="14.5" x14ac:dyDescent="0.35">
      <c r="A205" s="327" t="str">
        <f t="shared" si="3"/>
        <v xml:space="preserve">P330164 </v>
      </c>
      <c r="B205" s="228" t="s">
        <v>696</v>
      </c>
      <c r="C205" s="221">
        <v>5500</v>
      </c>
      <c r="D205" s="221"/>
      <c r="E205" s="221">
        <f>XledgerData[[#This Row],[Column1]]+XledgerData[[#This Row],[Year to date]]</f>
        <v>5500</v>
      </c>
      <c r="F205" s="131"/>
      <c r="J205" s="163"/>
      <c r="K205" s="251"/>
    </row>
    <row r="206" spans="1:11" ht="14.5" x14ac:dyDescent="0.35">
      <c r="A206" s="321" t="str">
        <f t="shared" si="3"/>
        <v xml:space="preserve">P330458 </v>
      </c>
      <c r="B206" s="240" t="s">
        <v>815</v>
      </c>
      <c r="C206" s="241">
        <v>6969.7</v>
      </c>
      <c r="D206" s="241"/>
      <c r="E206" s="241">
        <f>XledgerData[[#This Row],[Column1]]+XledgerData[[#This Row],[Year to date]]</f>
        <v>6969.7</v>
      </c>
      <c r="F206" s="131"/>
      <c r="J206" s="163"/>
      <c r="K206" s="251"/>
    </row>
    <row r="207" spans="1:11" ht="14.5" x14ac:dyDescent="0.35">
      <c r="A207" s="232" t="str">
        <f t="shared" si="3"/>
        <v xml:space="preserve">P330352 </v>
      </c>
      <c r="B207" s="233" t="s">
        <v>770</v>
      </c>
      <c r="C207" s="234">
        <v>6970</v>
      </c>
      <c r="D207" s="234"/>
      <c r="E207" s="234">
        <f>XledgerData[[#This Row],[Column1]]+XledgerData[[#This Row],[Year to date]]</f>
        <v>6970</v>
      </c>
      <c r="F207" s="131"/>
      <c r="J207" s="28"/>
      <c r="K207" s="162"/>
    </row>
    <row r="208" spans="1:11" ht="14.5" x14ac:dyDescent="0.35">
      <c r="A208" s="294" t="str">
        <f t="shared" si="3"/>
        <v xml:space="preserve">P330413 </v>
      </c>
      <c r="B208" s="243" t="s">
        <v>793</v>
      </c>
      <c r="C208" s="244">
        <v>7057</v>
      </c>
      <c r="D208" s="244"/>
      <c r="E208" s="244">
        <f>XledgerData[[#This Row],[Column1]]+XledgerData[[#This Row],[Year to date]]</f>
        <v>7057</v>
      </c>
      <c r="F208" s="131"/>
      <c r="J208" s="163"/>
      <c r="K208" s="251"/>
    </row>
    <row r="209" spans="1:14" ht="14.5" x14ac:dyDescent="0.35">
      <c r="A209" s="346" t="str">
        <f t="shared" si="3"/>
        <v xml:space="preserve">P330140 </v>
      </c>
      <c r="B209" s="257" t="s">
        <v>686</v>
      </c>
      <c r="C209" s="258">
        <v>6316</v>
      </c>
      <c r="D209" s="258">
        <v>570</v>
      </c>
      <c r="E209" s="258">
        <f>XledgerData[[#This Row],[Column1]]+XledgerData[[#This Row],[Year to date]]</f>
        <v>6886</v>
      </c>
      <c r="F209" s="131"/>
      <c r="J209" s="163"/>
      <c r="K209" s="251"/>
    </row>
    <row r="210" spans="1:14" ht="14.5" x14ac:dyDescent="0.35">
      <c r="A210" s="259" t="str">
        <f t="shared" si="3"/>
        <v xml:space="preserve">P330241 </v>
      </c>
      <c r="B210" s="257" t="s">
        <v>727</v>
      </c>
      <c r="C210" s="258">
        <v>6850</v>
      </c>
      <c r="D210" s="258"/>
      <c r="E210" s="258">
        <f>XledgerData[[#This Row],[Column1]]+XledgerData[[#This Row],[Year to date]]</f>
        <v>6850</v>
      </c>
      <c r="F210" s="131"/>
      <c r="J210" s="163"/>
      <c r="K210" s="251"/>
    </row>
    <row r="211" spans="1:14" ht="14.5" x14ac:dyDescent="0.35">
      <c r="A211" s="311" t="str">
        <f t="shared" si="3"/>
        <v xml:space="preserve">P330213 </v>
      </c>
      <c r="B211" s="265" t="s">
        <v>1417</v>
      </c>
      <c r="C211" s="266">
        <v>4057</v>
      </c>
      <c r="D211" s="266"/>
      <c r="E211" s="266">
        <f>XledgerData[[#This Row],[Column1]]+XledgerData[[#This Row],[Year to date]]</f>
        <v>4057</v>
      </c>
      <c r="F211" s="131"/>
      <c r="J211" s="163"/>
      <c r="K211" s="251"/>
    </row>
    <row r="212" spans="1:14" ht="14.5" x14ac:dyDescent="0.35">
      <c r="A212" s="339" t="str">
        <f t="shared" si="3"/>
        <v xml:space="preserve">B110 </v>
      </c>
      <c r="B212" s="205" t="s">
        <v>1505</v>
      </c>
      <c r="C212" s="148">
        <v>2450</v>
      </c>
      <c r="D212" s="148">
        <v>1000</v>
      </c>
      <c r="E212" s="148">
        <f>XledgerData[[#This Row],[Column1]]+XledgerData[[#This Row],[Year to date]]</f>
        <v>3450</v>
      </c>
      <c r="F212" s="131"/>
      <c r="J212" s="163"/>
      <c r="K212" s="251"/>
    </row>
    <row r="213" spans="1:14" ht="14.5" x14ac:dyDescent="0.35">
      <c r="A213" s="340" t="str">
        <f t="shared" si="3"/>
        <v xml:space="preserve">P330147 </v>
      </c>
      <c r="B213" s="228" t="s">
        <v>689</v>
      </c>
      <c r="C213" s="221">
        <v>6467</v>
      </c>
      <c r="D213" s="221"/>
      <c r="E213" s="221">
        <f>XledgerData[[#This Row],[Column1]]+XledgerData[[#This Row],[Year to date]]</f>
        <v>6467</v>
      </c>
      <c r="F213" s="131"/>
      <c r="J213" s="163"/>
      <c r="K213" s="251"/>
    </row>
    <row r="214" spans="1:14" ht="14.5" x14ac:dyDescent="0.35">
      <c r="A214" s="225" t="str">
        <f t="shared" si="3"/>
        <v xml:space="preserve">P330038 </v>
      </c>
      <c r="B214" s="226" t="s">
        <v>629</v>
      </c>
      <c r="C214" s="227">
        <v>2701</v>
      </c>
      <c r="D214" s="227"/>
      <c r="E214" s="227">
        <f>XledgerData[[#This Row],[Column1]]+XledgerData[[#This Row],[Year to date]]</f>
        <v>2701</v>
      </c>
      <c r="F214" s="131"/>
      <c r="J214" s="163"/>
      <c r="K214" s="251"/>
    </row>
    <row r="215" spans="1:14" ht="14.5" x14ac:dyDescent="0.35">
      <c r="A215" s="136" t="str">
        <f t="shared" si="3"/>
        <v xml:space="preserve">C330493 </v>
      </c>
      <c r="B215" s="206" t="s">
        <v>835</v>
      </c>
      <c r="C215" s="183">
        <v>6000</v>
      </c>
      <c r="D215" s="245"/>
      <c r="E215" s="246">
        <f>XledgerData[[#This Row],[Column1]]+XledgerData[[#This Row],[Year to date]]</f>
        <v>6000</v>
      </c>
      <c r="F215" s="131"/>
      <c r="J215" s="163"/>
      <c r="K215" s="251"/>
    </row>
    <row r="216" spans="1:14" ht="14.5" x14ac:dyDescent="0.35">
      <c r="A216" s="264" t="str">
        <f t="shared" si="3"/>
        <v xml:space="preserve">P330197 </v>
      </c>
      <c r="B216" s="265" t="s">
        <v>711</v>
      </c>
      <c r="C216" s="266">
        <v>6000</v>
      </c>
      <c r="D216" s="266">
        <v>2300</v>
      </c>
      <c r="E216" s="266">
        <f>XledgerData[[#This Row],[Column1]]+XledgerData[[#This Row],[Year to date]]</f>
        <v>8300</v>
      </c>
      <c r="F216" s="131"/>
      <c r="J216" s="163"/>
      <c r="K216" s="251"/>
    </row>
    <row r="217" spans="1:14" ht="14.5" x14ac:dyDescent="0.35">
      <c r="A217" s="239" t="str">
        <f t="shared" si="3"/>
        <v xml:space="preserve">P330437 </v>
      </c>
      <c r="B217" s="240" t="s">
        <v>1496</v>
      </c>
      <c r="C217" s="241">
        <v>4000</v>
      </c>
      <c r="D217" s="241"/>
      <c r="E217" s="241">
        <f>XledgerData[[#This Row],[Column1]]+XledgerData[[#This Row],[Year to date]]</f>
        <v>4000</v>
      </c>
      <c r="F217" s="131"/>
      <c r="J217" s="163"/>
      <c r="K217" s="251"/>
    </row>
    <row r="218" spans="1:14" ht="14.5" x14ac:dyDescent="0.35">
      <c r="A218" s="247" t="str">
        <f t="shared" si="3"/>
        <v xml:space="preserve">P330138 </v>
      </c>
      <c r="B218" s="248" t="s">
        <v>684</v>
      </c>
      <c r="C218" s="249">
        <v>8694</v>
      </c>
      <c r="D218" s="249"/>
      <c r="E218" s="249">
        <f>XledgerData[[#This Row],[Column1]]+XledgerData[[#This Row],[Year to date]]</f>
        <v>8694</v>
      </c>
      <c r="F218" s="131"/>
      <c r="J218" s="163"/>
      <c r="K218" s="162"/>
    </row>
    <row r="219" spans="1:14" ht="14.5" x14ac:dyDescent="0.35">
      <c r="A219" s="341" t="str">
        <f t="shared" si="3"/>
        <v xml:space="preserve">P330421 </v>
      </c>
      <c r="B219" s="243" t="s">
        <v>1489</v>
      </c>
      <c r="C219" s="244">
        <v>10200</v>
      </c>
      <c r="D219" s="244"/>
      <c r="E219" s="244">
        <f>XledgerData[[#This Row],[Column1]]+XledgerData[[#This Row],[Year to date]]</f>
        <v>10200</v>
      </c>
      <c r="F219" s="131"/>
      <c r="J219" s="28"/>
      <c r="K219" s="162"/>
    </row>
    <row r="220" spans="1:14" ht="14.5" x14ac:dyDescent="0.35">
      <c r="A220" s="343" t="str">
        <f t="shared" si="3"/>
        <v xml:space="preserve">P330264 </v>
      </c>
      <c r="B220" s="344" t="s">
        <v>1427</v>
      </c>
      <c r="C220" s="345">
        <v>5930</v>
      </c>
      <c r="D220" s="345"/>
      <c r="E220" s="345">
        <f>XledgerData[[#This Row],[Column1]]+XledgerData[[#This Row],[Year to date]]</f>
        <v>5930</v>
      </c>
      <c r="F220" s="131"/>
      <c r="J220" s="163"/>
      <c r="K220" s="251"/>
    </row>
    <row r="221" spans="1:14" ht="14.5" x14ac:dyDescent="0.35">
      <c r="A221" s="242" t="str">
        <f t="shared" si="3"/>
        <v xml:space="preserve">P330424 </v>
      </c>
      <c r="B221" s="342" t="s">
        <v>796</v>
      </c>
      <c r="C221" s="244">
        <v>5676</v>
      </c>
      <c r="D221" s="244"/>
      <c r="E221" s="244">
        <f>XledgerData[[#This Row],[Column1]]+XledgerData[[#This Row],[Year to date]]</f>
        <v>5676</v>
      </c>
      <c r="F221" s="144"/>
      <c r="J221" s="163"/>
      <c r="K221" s="251"/>
    </row>
    <row r="222" spans="1:14" ht="14.5" x14ac:dyDescent="0.35">
      <c r="A222" s="242" t="str">
        <f t="shared" si="3"/>
        <v xml:space="preserve">P330429 </v>
      </c>
      <c r="B222" s="243" t="s">
        <v>1444</v>
      </c>
      <c r="C222" s="244">
        <v>4732</v>
      </c>
      <c r="D222" s="244"/>
      <c r="E222" s="244">
        <f>XledgerData[[#This Row],[Column1]]+XledgerData[[#This Row],[Year to date]]</f>
        <v>4732</v>
      </c>
      <c r="F222" s="131"/>
      <c r="J222" s="28"/>
      <c r="K222" s="162"/>
    </row>
    <row r="223" spans="1:14" ht="14.5" x14ac:dyDescent="0.35">
      <c r="A223" s="232" t="str">
        <f t="shared" si="3"/>
        <v xml:space="preserve">P330350 </v>
      </c>
      <c r="B223" s="233" t="s">
        <v>769</v>
      </c>
      <c r="C223" s="234">
        <v>8815</v>
      </c>
      <c r="D223" s="234"/>
      <c r="E223" s="234">
        <f>XledgerData[[#This Row],[Column1]]+XledgerData[[#This Row],[Year to date]]</f>
        <v>8815</v>
      </c>
      <c r="F223" s="144"/>
      <c r="J223" s="28"/>
      <c r="K223" s="162"/>
      <c r="N223" s="141"/>
    </row>
    <row r="224" spans="1:14" ht="14.5" x14ac:dyDescent="0.35">
      <c r="A224" s="161" t="str">
        <f t="shared" si="3"/>
        <v xml:space="preserve">P330484 </v>
      </c>
      <c r="B224" s="216" t="s">
        <v>830</v>
      </c>
      <c r="C224" s="235">
        <v>5155</v>
      </c>
      <c r="D224" s="235"/>
      <c r="E224" s="235">
        <f>XledgerData[[#This Row],[Column1]]+XledgerData[[#This Row],[Year to date]]</f>
        <v>5155</v>
      </c>
      <c r="F224" s="144"/>
      <c r="J224" s="163"/>
      <c r="K224" s="251"/>
      <c r="N224" s="141"/>
    </row>
    <row r="225" spans="1:14" ht="14.5" x14ac:dyDescent="0.35">
      <c r="A225" s="220" t="str">
        <f t="shared" si="3"/>
        <v xml:space="preserve">P330160 </v>
      </c>
      <c r="B225" s="228" t="s">
        <v>695</v>
      </c>
      <c r="C225" s="221">
        <v>5250</v>
      </c>
      <c r="D225" s="221"/>
      <c r="E225" s="221">
        <f>XledgerData[[#This Row],[Column1]]+XledgerData[[#This Row],[Year to date]]</f>
        <v>5250</v>
      </c>
      <c r="F225" s="131"/>
      <c r="J225" s="163"/>
      <c r="K225" s="251"/>
      <c r="N225" s="141"/>
    </row>
    <row r="226" spans="1:14" ht="14.5" x14ac:dyDescent="0.35">
      <c r="A226" s="236" t="str">
        <f t="shared" si="3"/>
        <v xml:space="preserve">P330017 </v>
      </c>
      <c r="B226" s="237" t="s">
        <v>1356</v>
      </c>
      <c r="C226" s="238">
        <v>2520</v>
      </c>
      <c r="D226" s="238"/>
      <c r="E226" s="238">
        <f>XledgerData[[#This Row],[Column1]]+XledgerData[[#This Row],[Year to date]]</f>
        <v>2520</v>
      </c>
      <c r="F226" s="131"/>
      <c r="J226" s="163"/>
      <c r="K226" s="251"/>
      <c r="N226" s="141"/>
    </row>
    <row r="227" spans="1:14" ht="14.5" x14ac:dyDescent="0.35">
      <c r="A227" s="263" t="str">
        <f t="shared" si="3"/>
        <v xml:space="preserve">P330109 </v>
      </c>
      <c r="B227" s="252" t="s">
        <v>666</v>
      </c>
      <c r="C227" s="222">
        <v>4857</v>
      </c>
      <c r="D227" s="222"/>
      <c r="E227" s="222">
        <f>XledgerData[[#This Row],[Column1]]+XledgerData[[#This Row],[Year to date]]</f>
        <v>4857</v>
      </c>
      <c r="F227" s="144"/>
      <c r="J227" s="163"/>
      <c r="K227" s="251"/>
      <c r="M227" s="28"/>
      <c r="N227" s="141"/>
    </row>
    <row r="228" spans="1:14" ht="14.5" x14ac:dyDescent="0.35">
      <c r="A228" s="113" t="str">
        <f t="shared" si="3"/>
        <v xml:space="preserve">P330191 </v>
      </c>
      <c r="B228" s="196" t="s">
        <v>709</v>
      </c>
      <c r="C228" s="155">
        <v>4800</v>
      </c>
      <c r="D228" s="155"/>
      <c r="E228" s="155">
        <f>XledgerData[[#This Row],[Column1]]+XledgerData[[#This Row],[Year to date]]</f>
        <v>4800</v>
      </c>
      <c r="F228" s="131"/>
      <c r="J228" s="163"/>
      <c r="K228" s="251"/>
      <c r="N228" s="141"/>
    </row>
    <row r="229" spans="1:14" ht="14.5" x14ac:dyDescent="0.35">
      <c r="A229" s="253" t="str">
        <f t="shared" si="3"/>
        <v xml:space="preserve">P330184 </v>
      </c>
      <c r="B229" s="223" t="s">
        <v>1469</v>
      </c>
      <c r="C229" s="224">
        <v>2400</v>
      </c>
      <c r="D229" s="224"/>
      <c r="E229" s="224">
        <f>XledgerData[[#This Row],[Column1]]+XledgerData[[#This Row],[Year to date]]</f>
        <v>2400</v>
      </c>
      <c r="F229" s="131"/>
      <c r="J229" s="163"/>
      <c r="K229" s="251"/>
      <c r="M229" s="28"/>
      <c r="N229" s="141"/>
    </row>
    <row r="230" spans="1:14" ht="14.5" x14ac:dyDescent="0.35">
      <c r="A230" s="239" t="str">
        <f t="shared" si="3"/>
        <v xml:space="preserve">P330460 </v>
      </c>
      <c r="B230" s="240" t="s">
        <v>817</v>
      </c>
      <c r="C230" s="241">
        <v>4800</v>
      </c>
      <c r="D230" s="241">
        <v>258</v>
      </c>
      <c r="E230" s="241">
        <f>XledgerData[[#This Row],[Column1]]+XledgerData[[#This Row],[Year to date]]</f>
        <v>5058</v>
      </c>
      <c r="F230" s="131"/>
      <c r="J230" s="163"/>
      <c r="K230" s="251"/>
      <c r="M230" s="28"/>
      <c r="N230" s="141"/>
    </row>
    <row r="231" spans="1:14" ht="14.5" x14ac:dyDescent="0.35">
      <c r="A231" s="218" t="str">
        <f t="shared" si="3"/>
        <v xml:space="preserve">P330234 </v>
      </c>
      <c r="B231" s="229" t="s">
        <v>725</v>
      </c>
      <c r="C231" s="219">
        <v>4633</v>
      </c>
      <c r="D231" s="219"/>
      <c r="E231" s="219">
        <f>XledgerData[[#This Row],[Column1]]+XledgerData[[#This Row],[Year to date]]</f>
        <v>4633</v>
      </c>
      <c r="F231" s="131"/>
      <c r="J231" s="163"/>
      <c r="K231" s="251"/>
      <c r="M231" s="28"/>
      <c r="N231" s="141"/>
    </row>
    <row r="232" spans="1:14" ht="14.5" x14ac:dyDescent="0.35">
      <c r="A232" s="247" t="str">
        <f t="shared" si="3"/>
        <v xml:space="preserve">P330408 </v>
      </c>
      <c r="B232" s="248" t="s">
        <v>790</v>
      </c>
      <c r="C232" s="249">
        <v>6367</v>
      </c>
      <c r="D232" s="249"/>
      <c r="E232" s="249">
        <f>XledgerData[[#This Row],[Column1]]+XledgerData[[#This Row],[Year to date]]</f>
        <v>6367</v>
      </c>
      <c r="F232" s="131"/>
      <c r="J232" s="28"/>
      <c r="K232" s="162"/>
    </row>
    <row r="233" spans="1:14" ht="14.5" x14ac:dyDescent="0.35">
      <c r="A233" s="259" t="str">
        <f t="shared" si="3"/>
        <v xml:space="preserve">P330125 </v>
      </c>
      <c r="B233" s="257" t="s">
        <v>675</v>
      </c>
      <c r="C233" s="258">
        <v>4345</v>
      </c>
      <c r="D233" s="258"/>
      <c r="E233" s="258">
        <f>XledgerData[[#This Row],[Column1]]+XledgerData[[#This Row],[Year to date]]</f>
        <v>4345</v>
      </c>
      <c r="F233" s="131"/>
      <c r="J233" s="163"/>
      <c r="K233" s="251"/>
      <c r="M233" s="142"/>
      <c r="N233" s="128"/>
    </row>
    <row r="234" spans="1:14" ht="14.5" x14ac:dyDescent="0.35">
      <c r="A234" s="236" t="str">
        <f t="shared" si="3"/>
        <v xml:space="preserve">P330012 </v>
      </c>
      <c r="B234" s="237" t="s">
        <v>617</v>
      </c>
      <c r="C234" s="238">
        <v>3864</v>
      </c>
      <c r="D234" s="238"/>
      <c r="E234" s="238">
        <f>XledgerData[[#This Row],[Column1]]+XledgerData[[#This Row],[Year to date]]</f>
        <v>3864</v>
      </c>
      <c r="F234" s="131"/>
      <c r="J234" s="163"/>
      <c r="K234" s="251"/>
    </row>
    <row r="235" spans="1:14" s="28" customFormat="1" ht="14.5" x14ac:dyDescent="0.35">
      <c r="A235" s="220" t="str">
        <f t="shared" si="3"/>
        <v xml:space="preserve">P330151 </v>
      </c>
      <c r="B235" s="228" t="s">
        <v>1403</v>
      </c>
      <c r="C235" s="221">
        <v>1818</v>
      </c>
      <c r="D235" s="221"/>
      <c r="E235" s="221">
        <f>XledgerData[[#This Row],[Column1]]+XledgerData[[#This Row],[Year to date]]</f>
        <v>1818</v>
      </c>
      <c r="F235" s="131"/>
      <c r="J235" s="163"/>
      <c r="K235" s="251"/>
      <c r="M235" s="162"/>
    </row>
    <row r="236" spans="1:14" ht="14.5" x14ac:dyDescent="0.35">
      <c r="A236" s="137" t="str">
        <f t="shared" si="3"/>
        <v xml:space="preserve">P330150 </v>
      </c>
      <c r="B236" s="195" t="s">
        <v>690</v>
      </c>
      <c r="C236" s="173">
        <v>2758</v>
      </c>
      <c r="D236" s="173"/>
      <c r="E236" s="173">
        <f>XledgerData[[#This Row],[Column1]]+XledgerData[[#This Row],[Year to date]]</f>
        <v>2758</v>
      </c>
      <c r="F236" s="131"/>
      <c r="J236" s="163"/>
      <c r="K236" s="251"/>
    </row>
    <row r="237" spans="1:14" ht="14.5" x14ac:dyDescent="0.35">
      <c r="A237" s="276" t="str">
        <f t="shared" si="3"/>
        <v xml:space="preserve">P330433 </v>
      </c>
      <c r="B237" s="240" t="s">
        <v>801</v>
      </c>
      <c r="C237" s="241">
        <v>3343</v>
      </c>
      <c r="D237" s="241"/>
      <c r="E237" s="241">
        <f>XledgerData[[#This Row],[Column1]]+XledgerData[[#This Row],[Year to date]]</f>
        <v>3343</v>
      </c>
      <c r="F237" s="131"/>
      <c r="J237" s="163"/>
      <c r="K237" s="251"/>
    </row>
    <row r="238" spans="1:14" ht="14.5" x14ac:dyDescent="0.35">
      <c r="A238" s="157" t="str">
        <f t="shared" si="3"/>
        <v xml:space="preserve">P330269 </v>
      </c>
      <c r="B238" s="197" t="s">
        <v>1515</v>
      </c>
      <c r="C238" s="175">
        <v>2250</v>
      </c>
      <c r="D238" s="175"/>
      <c r="E238" s="175">
        <f>XledgerData[[#This Row],[Column1]]+XledgerData[[#This Row],[Year to date]]</f>
        <v>2250</v>
      </c>
      <c r="F238" s="144"/>
      <c r="J238" s="163"/>
      <c r="K238" s="251"/>
    </row>
    <row r="239" spans="1:14" ht="14.5" x14ac:dyDescent="0.35">
      <c r="A239" s="220" t="str">
        <f t="shared" si="3"/>
        <v xml:space="preserve">P330028 </v>
      </c>
      <c r="B239" s="228" t="s">
        <v>624</v>
      </c>
      <c r="C239" s="221">
        <v>2840</v>
      </c>
      <c r="D239" s="221">
        <v>1</v>
      </c>
      <c r="E239" s="221">
        <f>XledgerData[[#This Row],[Column1]]+XledgerData[[#This Row],[Year to date]]</f>
        <v>2841</v>
      </c>
      <c r="F239" s="144"/>
      <c r="J239" s="163"/>
      <c r="K239" s="251"/>
    </row>
    <row r="240" spans="1:14" ht="14.5" x14ac:dyDescent="0.35">
      <c r="A240" s="220" t="str">
        <f t="shared" si="3"/>
        <v xml:space="preserve">P330003 </v>
      </c>
      <c r="B240" s="228" t="s">
        <v>612</v>
      </c>
      <c r="C240" s="221">
        <v>2841</v>
      </c>
      <c r="D240" s="221"/>
      <c r="E240" s="221">
        <f>XledgerData[[#This Row],[Column1]]+XledgerData[[#This Row],[Year to date]]</f>
        <v>2841</v>
      </c>
      <c r="F240" s="131"/>
      <c r="J240" s="163"/>
      <c r="K240" s="251"/>
    </row>
    <row r="241" spans="1:15" ht="14.5" x14ac:dyDescent="0.35">
      <c r="A241" s="118" t="str">
        <f t="shared" si="3"/>
        <v xml:space="preserve">P330203 </v>
      </c>
      <c r="B241" s="265" t="s">
        <v>1413</v>
      </c>
      <c r="C241" s="266">
        <v>7999</v>
      </c>
      <c r="D241" s="266"/>
      <c r="E241" s="266">
        <f>XledgerData[[#This Row],[Column1]]+XledgerData[[#This Row],[Year to date]]</f>
        <v>7999</v>
      </c>
      <c r="F241" s="131"/>
      <c r="J241" s="163"/>
      <c r="K241" s="251"/>
    </row>
    <row r="242" spans="1:15" ht="14.5" x14ac:dyDescent="0.35">
      <c r="A242" s="239" t="str">
        <f t="shared" si="3"/>
        <v xml:space="preserve">P330477 </v>
      </c>
      <c r="B242" s="240" t="s">
        <v>827</v>
      </c>
      <c r="C242" s="241">
        <v>2546</v>
      </c>
      <c r="D242" s="241"/>
      <c r="E242" s="241">
        <f>XledgerData[[#This Row],[Column1]]+XledgerData[[#This Row],[Year to date]]</f>
        <v>2546</v>
      </c>
      <c r="F242" s="144"/>
      <c r="J242" s="163"/>
      <c r="K242" s="251"/>
    </row>
    <row r="243" spans="1:15" s="28" customFormat="1" ht="14.5" x14ac:dyDescent="0.35">
      <c r="A243" s="114" t="str">
        <f t="shared" si="3"/>
        <v xml:space="preserve">P330271 </v>
      </c>
      <c r="B243" s="196" t="s">
        <v>1552</v>
      </c>
      <c r="C243" s="155">
        <v>5000</v>
      </c>
      <c r="D243" s="155"/>
      <c r="E243" s="155">
        <f>XledgerData[[#This Row],[Column1]]+XledgerData[[#This Row],[Year to date]]</f>
        <v>5000</v>
      </c>
      <c r="F243" s="144"/>
      <c r="J243" s="163"/>
      <c r="K243" s="251"/>
    </row>
    <row r="244" spans="1:15" ht="14.5" x14ac:dyDescent="0.35">
      <c r="A244" s="247" t="str">
        <f t="shared" si="3"/>
        <v xml:space="preserve">P330397 </v>
      </c>
      <c r="B244" s="248" t="s">
        <v>783</v>
      </c>
      <c r="C244" s="249">
        <v>10950</v>
      </c>
      <c r="D244" s="249"/>
      <c r="E244" s="249">
        <f>XledgerData[[#This Row],[Column1]]+XledgerData[[#This Row],[Year to date]]</f>
        <v>10950</v>
      </c>
      <c r="F244" s="131"/>
      <c r="J244" s="163"/>
      <c r="K244" s="251"/>
    </row>
    <row r="245" spans="1:15" ht="14.5" x14ac:dyDescent="0.35">
      <c r="A245" s="280" t="str">
        <f t="shared" ref="A245:A279" si="4">LEFT(B245,FIND(" ",B245,1))</f>
        <v xml:space="preserve">P330328 </v>
      </c>
      <c r="B245" s="217" t="s">
        <v>1479</v>
      </c>
      <c r="C245" s="268">
        <v>1100</v>
      </c>
      <c r="D245" s="268"/>
      <c r="E245" s="268">
        <f>XledgerData[[#This Row],[Column1]]+XledgerData[[#This Row],[Year to date]]</f>
        <v>1100</v>
      </c>
      <c r="F245" s="131"/>
      <c r="J245" s="163"/>
      <c r="K245" s="251"/>
    </row>
    <row r="246" spans="1:15" ht="14.5" x14ac:dyDescent="0.35">
      <c r="A246" s="253" t="str">
        <f t="shared" si="4"/>
        <v xml:space="preserve">P330182 </v>
      </c>
      <c r="B246" s="223" t="s">
        <v>706</v>
      </c>
      <c r="C246" s="224">
        <v>5937</v>
      </c>
      <c r="D246" s="224"/>
      <c r="E246" s="224">
        <f>XledgerData[[#This Row],[Column1]]+XledgerData[[#This Row],[Year to date]]</f>
        <v>5937</v>
      </c>
      <c r="F246" s="131"/>
      <c r="J246" s="163"/>
      <c r="K246" s="251"/>
      <c r="O246" s="142"/>
    </row>
    <row r="247" spans="1:15" ht="14.5" x14ac:dyDescent="0.35">
      <c r="A247" s="247" t="str">
        <f t="shared" si="4"/>
        <v xml:space="preserve">P330392 </v>
      </c>
      <c r="B247" s="248" t="s">
        <v>780</v>
      </c>
      <c r="C247" s="249">
        <v>7436</v>
      </c>
      <c r="D247" s="249"/>
      <c r="E247" s="249">
        <f>XledgerData[[#This Row],[Column1]]+XledgerData[[#This Row],[Year to date]]</f>
        <v>7436</v>
      </c>
      <c r="F247" s="144"/>
      <c r="J247" s="163"/>
      <c r="K247" s="251"/>
    </row>
    <row r="248" spans="1:15" ht="14.5" x14ac:dyDescent="0.35">
      <c r="A248" s="250" t="str">
        <f t="shared" si="4"/>
        <v xml:space="preserve">P330342 </v>
      </c>
      <c r="B248" s="233" t="s">
        <v>1521</v>
      </c>
      <c r="C248" s="234">
        <v>2424</v>
      </c>
      <c r="D248" s="234"/>
      <c r="E248" s="234">
        <f>XledgerData[[#This Row],[Column1]]+XledgerData[[#This Row],[Year to date]]</f>
        <v>2424</v>
      </c>
      <c r="F248" s="131"/>
      <c r="J248" s="163"/>
      <c r="K248" s="251"/>
    </row>
    <row r="249" spans="1:15" ht="14.5" x14ac:dyDescent="0.35">
      <c r="A249" s="247" t="str">
        <f t="shared" si="4"/>
        <v xml:space="preserve">P330411 </v>
      </c>
      <c r="B249" s="248" t="s">
        <v>792</v>
      </c>
      <c r="C249" s="249">
        <v>1537</v>
      </c>
      <c r="D249" s="249">
        <v>3135</v>
      </c>
      <c r="E249" s="249">
        <f>XledgerData[[#This Row],[Column1]]+XledgerData[[#This Row],[Year to date]]</f>
        <v>4672</v>
      </c>
      <c r="F249" s="131"/>
      <c r="J249" s="163"/>
      <c r="K249" s="251"/>
    </row>
    <row r="250" spans="1:15" ht="14.5" x14ac:dyDescent="0.35">
      <c r="A250" s="115" t="str">
        <f t="shared" si="4"/>
        <v xml:space="preserve">P330431 </v>
      </c>
      <c r="B250" s="208" t="s">
        <v>800</v>
      </c>
      <c r="C250" s="181">
        <v>1885</v>
      </c>
      <c r="D250" s="181">
        <v>315</v>
      </c>
      <c r="E250" s="181">
        <f>XledgerData[[#This Row],[Column1]]+XledgerData[[#This Row],[Year to date]]</f>
        <v>2200</v>
      </c>
      <c r="F250" s="131"/>
      <c r="J250" s="163"/>
      <c r="K250" s="251"/>
    </row>
    <row r="251" spans="1:15" ht="14.5" x14ac:dyDescent="0.35">
      <c r="A251" s="165" t="str">
        <f t="shared" si="4"/>
        <v xml:space="preserve">P330217 </v>
      </c>
      <c r="B251" s="191" t="s">
        <v>1571</v>
      </c>
      <c r="C251" s="172">
        <v>760</v>
      </c>
      <c r="D251" s="172">
        <v>-30</v>
      </c>
      <c r="E251" s="172">
        <f>XledgerData[[#This Row],[Column1]]+XledgerData[[#This Row],[Year to date]]</f>
        <v>730</v>
      </c>
      <c r="F251" s="131"/>
      <c r="J251" s="163"/>
      <c r="K251" s="251"/>
    </row>
    <row r="252" spans="1:15" s="28" customFormat="1" ht="14.5" x14ac:dyDescent="0.35">
      <c r="A252" s="247" t="str">
        <f t="shared" si="4"/>
        <v xml:space="preserve">P330132 </v>
      </c>
      <c r="B252" s="248" t="s">
        <v>680</v>
      </c>
      <c r="C252" s="249">
        <v>2100</v>
      </c>
      <c r="D252" s="249">
        <v>1653</v>
      </c>
      <c r="E252" s="249">
        <f>XledgerData[[#This Row],[Column1]]+XledgerData[[#This Row],[Year to date]]</f>
        <v>3753</v>
      </c>
      <c r="F252" s="131"/>
      <c r="J252" s="163"/>
      <c r="K252" s="251"/>
    </row>
    <row r="253" spans="1:15" ht="14.5" x14ac:dyDescent="0.35">
      <c r="A253" s="137" t="str">
        <f t="shared" si="4"/>
        <v xml:space="preserve">P330152 </v>
      </c>
      <c r="B253" s="195" t="s">
        <v>1546</v>
      </c>
      <c r="C253" s="173">
        <v>12854</v>
      </c>
      <c r="D253" s="173">
        <v>500</v>
      </c>
      <c r="E253" s="173">
        <f>XledgerData[[#This Row],[Column1]]+XledgerData[[#This Row],[Year to date]]</f>
        <v>13354</v>
      </c>
      <c r="F253" s="144"/>
      <c r="J253" s="163"/>
      <c r="K253" s="251"/>
    </row>
    <row r="254" spans="1:15" ht="14.5" x14ac:dyDescent="0.35">
      <c r="A254" s="239" t="str">
        <f t="shared" si="4"/>
        <v xml:space="preserve">P330448 </v>
      </c>
      <c r="B254" s="240" t="s">
        <v>809</v>
      </c>
      <c r="C254" s="241">
        <v>4858</v>
      </c>
      <c r="D254" s="241">
        <v>200</v>
      </c>
      <c r="E254" s="241">
        <f>XledgerData[[#This Row],[Column1]]+XledgerData[[#This Row],[Year to date]]</f>
        <v>5058</v>
      </c>
      <c r="F254" s="131"/>
      <c r="J254" s="163"/>
      <c r="K254" s="251"/>
    </row>
    <row r="255" spans="1:15" ht="14.5" x14ac:dyDescent="0.35">
      <c r="A255" s="267" t="str">
        <f t="shared" si="4"/>
        <v xml:space="preserve">P330071 </v>
      </c>
      <c r="B255" s="230" t="s">
        <v>647</v>
      </c>
      <c r="C255" s="231">
        <v>6395</v>
      </c>
      <c r="D255" s="231">
        <v>605</v>
      </c>
      <c r="E255" s="231">
        <f>XledgerData[[#This Row],[Column1]]+XledgerData[[#This Row],[Year to date]]</f>
        <v>7000</v>
      </c>
      <c r="F255" s="131"/>
      <c r="J255" s="163"/>
      <c r="K255" s="251"/>
    </row>
    <row r="256" spans="1:15" ht="14.5" x14ac:dyDescent="0.35">
      <c r="A256" s="267" t="str">
        <f t="shared" si="4"/>
        <v xml:space="preserve">P330064 </v>
      </c>
      <c r="B256" s="230" t="s">
        <v>1360</v>
      </c>
      <c r="C256" s="231">
        <v>10719</v>
      </c>
      <c r="D256" s="231">
        <v>1031</v>
      </c>
      <c r="E256" s="231">
        <f>XledgerData[[#This Row],[Column1]]+XledgerData[[#This Row],[Year to date]]</f>
        <v>11750</v>
      </c>
      <c r="F256" s="131"/>
      <c r="J256" s="163"/>
      <c r="K256" s="251"/>
    </row>
    <row r="257" spans="1:11" ht="14.5" x14ac:dyDescent="0.35">
      <c r="A257" s="267" t="str">
        <f t="shared" si="4"/>
        <v xml:space="preserve">P330059 </v>
      </c>
      <c r="B257" s="230" t="s">
        <v>1394</v>
      </c>
      <c r="C257" s="231">
        <v>11000</v>
      </c>
      <c r="D257" s="231"/>
      <c r="E257" s="231">
        <f>XledgerData[[#This Row],[Column1]]+XledgerData[[#This Row],[Year to date]]</f>
        <v>11000</v>
      </c>
      <c r="F257" s="131"/>
      <c r="J257" s="163"/>
      <c r="K257" s="251"/>
    </row>
    <row r="258" spans="1:11" ht="14.5" x14ac:dyDescent="0.35">
      <c r="A258" s="161" t="str">
        <f t="shared" si="4"/>
        <v xml:space="preserve">B021 </v>
      </c>
      <c r="B258" s="216" t="s">
        <v>1567</v>
      </c>
      <c r="C258" s="152">
        <v>3500</v>
      </c>
      <c r="D258" s="152"/>
      <c r="E258" s="152">
        <f>XledgerData[[#This Row],[Column1]]+XledgerData[[#This Row],[Year to date]]</f>
        <v>3500</v>
      </c>
      <c r="F258" s="131"/>
      <c r="J258" s="163"/>
      <c r="K258" s="282"/>
    </row>
    <row r="259" spans="1:11" ht="14.5" x14ac:dyDescent="0.35">
      <c r="A259" s="166" t="str">
        <f t="shared" si="4"/>
        <v xml:space="preserve">B078 </v>
      </c>
      <c r="B259" s="217" t="s">
        <v>1386</v>
      </c>
      <c r="C259" s="151">
        <v>41370</v>
      </c>
      <c r="D259" s="151"/>
      <c r="E259" s="151">
        <f>XledgerData[[#This Row],[Column1]]+XledgerData[[#This Row],[Year to date]]</f>
        <v>41370</v>
      </c>
      <c r="F259" s="144"/>
      <c r="J259" s="163"/>
      <c r="K259" s="251"/>
    </row>
    <row r="260" spans="1:11" s="28" customFormat="1" ht="14.5" x14ac:dyDescent="0.35">
      <c r="A260" s="259" t="str">
        <f t="shared" si="4"/>
        <v xml:space="preserve">C330129 </v>
      </c>
      <c r="B260" s="257" t="s">
        <v>1387</v>
      </c>
      <c r="C260" s="258">
        <v>2624</v>
      </c>
      <c r="D260" s="258"/>
      <c r="E260" s="258">
        <f>XledgerData[[#This Row],[Column1]]+XledgerData[[#This Row],[Year to date]]</f>
        <v>2624</v>
      </c>
      <c r="F260" s="144"/>
      <c r="J260" s="163"/>
      <c r="K260" s="251"/>
    </row>
    <row r="261" spans="1:11" ht="14.5" x14ac:dyDescent="0.35">
      <c r="A261" s="236" t="str">
        <f t="shared" si="4"/>
        <v xml:space="preserve">P330005 </v>
      </c>
      <c r="B261" s="237" t="s">
        <v>613</v>
      </c>
      <c r="C261" s="238">
        <v>38665</v>
      </c>
      <c r="D261" s="238"/>
      <c r="E261" s="238">
        <f>XledgerData[[#This Row],[Column1]]+XledgerData[[#This Row],[Year to date]]</f>
        <v>38665</v>
      </c>
      <c r="F261" s="131"/>
      <c r="J261" s="163"/>
      <c r="K261" s="251"/>
    </row>
    <row r="262" spans="1:11" ht="14.5" x14ac:dyDescent="0.35">
      <c r="A262" s="236" t="str">
        <f t="shared" si="4"/>
        <v xml:space="preserve">P330011 </v>
      </c>
      <c r="B262" s="237" t="s">
        <v>616</v>
      </c>
      <c r="C262" s="238">
        <v>3279</v>
      </c>
      <c r="D262" s="238"/>
      <c r="E262" s="238">
        <f>XledgerData[[#This Row],[Column1]]+XledgerData[[#This Row],[Year to date]]</f>
        <v>3279</v>
      </c>
      <c r="F262" s="131"/>
      <c r="J262" s="163"/>
      <c r="K262" s="251"/>
    </row>
    <row r="263" spans="1:11" ht="14.5" x14ac:dyDescent="0.35">
      <c r="A263" s="236" t="str">
        <f t="shared" si="4"/>
        <v xml:space="preserve">P330014 </v>
      </c>
      <c r="B263" s="237" t="s">
        <v>1559</v>
      </c>
      <c r="C263" s="238">
        <v>4000</v>
      </c>
      <c r="D263" s="238"/>
      <c r="E263" s="238">
        <f>XledgerData[[#This Row],[Column1]]+XledgerData[[#This Row],[Year to date]]</f>
        <v>4000</v>
      </c>
      <c r="F263" s="131"/>
      <c r="J263" s="163"/>
      <c r="K263" s="251"/>
    </row>
    <row r="264" spans="1:11" ht="14.5" x14ac:dyDescent="0.35">
      <c r="A264" s="236" t="str">
        <f t="shared" si="4"/>
        <v xml:space="preserve">P330015 </v>
      </c>
      <c r="B264" s="237" t="s">
        <v>619</v>
      </c>
      <c r="C264" s="238">
        <v>4207</v>
      </c>
      <c r="D264" s="238">
        <v>400</v>
      </c>
      <c r="E264" s="238">
        <f>XledgerData[[#This Row],[Column1]]+XledgerData[[#This Row],[Year to date]]</f>
        <v>4607</v>
      </c>
      <c r="F264" s="131"/>
      <c r="J264" s="163"/>
      <c r="K264" s="251"/>
    </row>
    <row r="265" spans="1:11" ht="14.5" x14ac:dyDescent="0.35">
      <c r="A265" s="135" t="str">
        <f t="shared" si="4"/>
        <v xml:space="preserve">P330016 </v>
      </c>
      <c r="B265" s="203" t="s">
        <v>1456</v>
      </c>
      <c r="C265" s="186">
        <v>5500</v>
      </c>
      <c r="D265" s="128"/>
      <c r="E265" s="145">
        <f>XledgerData[[#This Row],[Column1]]+XledgerData[[#This Row],[Year to date]]</f>
        <v>5500</v>
      </c>
      <c r="F265" s="131"/>
      <c r="J265" s="163"/>
      <c r="K265" s="251"/>
    </row>
    <row r="266" spans="1:11" ht="14.5" x14ac:dyDescent="0.35">
      <c r="A266" s="236" t="str">
        <f t="shared" si="4"/>
        <v xml:space="preserve">P330018 </v>
      </c>
      <c r="B266" s="237" t="s">
        <v>1457</v>
      </c>
      <c r="C266" s="238">
        <v>4557</v>
      </c>
      <c r="D266" s="238"/>
      <c r="E266" s="238">
        <f>XledgerData[[#This Row],[Column1]]+XledgerData[[#This Row],[Year to date]]</f>
        <v>4557</v>
      </c>
      <c r="F266" s="131"/>
      <c r="J266" s="163"/>
      <c r="K266" s="251"/>
    </row>
    <row r="267" spans="1:11" ht="14.5" x14ac:dyDescent="0.35">
      <c r="A267" s="236" t="str">
        <f t="shared" si="4"/>
        <v xml:space="preserve">P330020 </v>
      </c>
      <c r="B267" s="237" t="s">
        <v>1592</v>
      </c>
      <c r="C267" s="238">
        <v>1250</v>
      </c>
      <c r="D267" s="238"/>
      <c r="E267" s="238">
        <f>XledgerData[[#This Row],[Column1]]+XledgerData[[#This Row],[Year to date]]</f>
        <v>1250</v>
      </c>
      <c r="F267" s="131"/>
      <c r="J267" s="163"/>
      <c r="K267" s="162"/>
    </row>
    <row r="268" spans="1:11" ht="14.5" x14ac:dyDescent="0.35">
      <c r="A268" s="236" t="str">
        <f t="shared" si="4"/>
        <v xml:space="preserve">P330022 </v>
      </c>
      <c r="B268" s="237" t="s">
        <v>1389</v>
      </c>
      <c r="C268" s="238">
        <v>5000</v>
      </c>
      <c r="D268" s="238"/>
      <c r="E268" s="238">
        <f>XledgerData[[#This Row],[Column1]]+XledgerData[[#This Row],[Year to date]]</f>
        <v>5000</v>
      </c>
      <c r="F268" s="131"/>
      <c r="J268" s="163"/>
      <c r="K268" s="162"/>
    </row>
    <row r="269" spans="1:11" ht="14.5" x14ac:dyDescent="0.35">
      <c r="A269" s="135" t="str">
        <f t="shared" si="4"/>
        <v xml:space="preserve">P330023 </v>
      </c>
      <c r="B269" s="203" t="s">
        <v>1543</v>
      </c>
      <c r="C269" s="186">
        <v>4000</v>
      </c>
      <c r="D269" s="186">
        <v>909</v>
      </c>
      <c r="E269" s="186">
        <f>XledgerData[[#This Row],[Column1]]+XledgerData[[#This Row],[Year to date]]</f>
        <v>4909</v>
      </c>
      <c r="F269" s="131"/>
      <c r="J269" s="163"/>
      <c r="K269" s="251"/>
    </row>
    <row r="270" spans="1:11" ht="14.5" x14ac:dyDescent="0.35">
      <c r="A270" s="225" t="str">
        <f t="shared" si="4"/>
        <v xml:space="preserve">P330031 </v>
      </c>
      <c r="B270" s="226" t="s">
        <v>1391</v>
      </c>
      <c r="C270" s="227">
        <v>8000</v>
      </c>
      <c r="D270" s="227"/>
      <c r="E270" s="227">
        <f>XledgerData[[#This Row],[Column1]]+XledgerData[[#This Row],[Year to date]]</f>
        <v>8000</v>
      </c>
      <c r="F270" s="131"/>
      <c r="J270" s="163"/>
      <c r="K270" s="251"/>
    </row>
    <row r="271" spans="1:11" ht="14.5" x14ac:dyDescent="0.35">
      <c r="A271" s="225" t="str">
        <f t="shared" si="4"/>
        <v xml:space="preserve">P330033 </v>
      </c>
      <c r="B271" s="226" t="s">
        <v>627</v>
      </c>
      <c r="C271" s="227">
        <v>7107</v>
      </c>
      <c r="D271" s="227"/>
      <c r="E271" s="227">
        <f>XledgerData[[#This Row],[Column1]]+XledgerData[[#This Row],[Year to date]]</f>
        <v>7107</v>
      </c>
      <c r="F271" s="131"/>
      <c r="J271" s="163"/>
      <c r="K271" s="251"/>
    </row>
    <row r="272" spans="1:11" ht="14.5" x14ac:dyDescent="0.35">
      <c r="A272" s="133" t="str">
        <f t="shared" si="4"/>
        <v xml:space="preserve">P330041 </v>
      </c>
      <c r="B272" s="193" t="s">
        <v>632</v>
      </c>
      <c r="C272" s="184">
        <v>62580</v>
      </c>
      <c r="D272" s="128"/>
      <c r="E272" s="145">
        <f>XledgerData[[#This Row],[Column1]]+XledgerData[[#This Row],[Year to date]]</f>
        <v>62580</v>
      </c>
      <c r="F272" s="131"/>
      <c r="J272" s="163"/>
      <c r="K272" s="282"/>
    </row>
    <row r="273" spans="1:14" ht="14.5" x14ac:dyDescent="0.35">
      <c r="A273" s="271" t="str">
        <f t="shared" si="4"/>
        <v xml:space="preserve">P330049 </v>
      </c>
      <c r="B273" s="230" t="s">
        <v>638</v>
      </c>
      <c r="C273" s="231">
        <v>9860</v>
      </c>
      <c r="D273" s="231"/>
      <c r="E273" s="231">
        <f>XledgerData[[#This Row],[Column1]]+XledgerData[[#This Row],[Year to date]]</f>
        <v>9860</v>
      </c>
      <c r="F273" s="131"/>
      <c r="J273" s="163"/>
      <c r="K273" s="162"/>
    </row>
    <row r="274" spans="1:14" ht="14.5" x14ac:dyDescent="0.35">
      <c r="A274" s="153" t="str">
        <f t="shared" si="4"/>
        <v xml:space="preserve">P330054 </v>
      </c>
      <c r="B274" s="202" t="s">
        <v>1357</v>
      </c>
      <c r="C274" s="185">
        <v>13500</v>
      </c>
      <c r="D274" s="128"/>
      <c r="E274" s="145">
        <f>XledgerData[[#This Row],[Column1]]+XledgerData[[#This Row],[Year to date]]</f>
        <v>13500</v>
      </c>
      <c r="F274" s="131"/>
      <c r="J274" s="163"/>
      <c r="K274" s="162"/>
    </row>
    <row r="275" spans="1:14" ht="14.5" x14ac:dyDescent="0.35">
      <c r="A275" s="267" t="str">
        <f t="shared" si="4"/>
        <v xml:space="preserve">P330055 </v>
      </c>
      <c r="B275" s="230" t="s">
        <v>640</v>
      </c>
      <c r="C275" s="231">
        <v>22500</v>
      </c>
      <c r="D275" s="231"/>
      <c r="E275" s="231">
        <f>XledgerData[[#This Row],[Column1]]+XledgerData[[#This Row],[Year to date]]</f>
        <v>22500</v>
      </c>
      <c r="F275" s="131"/>
      <c r="J275" s="163"/>
      <c r="K275" s="162"/>
    </row>
    <row r="276" spans="1:14" ht="14.5" x14ac:dyDescent="0.35">
      <c r="A276" s="271" t="str">
        <f t="shared" si="4"/>
        <v xml:space="preserve">P330061 </v>
      </c>
      <c r="B276" s="230" t="s">
        <v>1594</v>
      </c>
      <c r="C276" s="231">
        <v>4045</v>
      </c>
      <c r="D276" s="231"/>
      <c r="E276" s="231">
        <f>XledgerData[[#This Row],[Column1]]+XledgerData[[#This Row],[Year to date]]</f>
        <v>4045</v>
      </c>
      <c r="F276" s="131"/>
      <c r="J276" s="163"/>
      <c r="K276" s="162"/>
    </row>
    <row r="277" spans="1:14" s="28" customFormat="1" ht="14.5" x14ac:dyDescent="0.35">
      <c r="A277" s="271" t="str">
        <f t="shared" si="4"/>
        <v xml:space="preserve">P330062 </v>
      </c>
      <c r="B277" s="230" t="s">
        <v>643</v>
      </c>
      <c r="C277" s="231">
        <v>19500</v>
      </c>
      <c r="D277" s="231"/>
      <c r="E277" s="231">
        <f>XledgerData[[#This Row],[Column1]]+XledgerData[[#This Row],[Year to date]]</f>
        <v>19500</v>
      </c>
      <c r="F277" s="131"/>
      <c r="J277" s="163"/>
      <c r="K277" s="162"/>
      <c r="L277" s="25"/>
      <c r="M277" s="25"/>
      <c r="N277" s="25"/>
    </row>
    <row r="278" spans="1:14" ht="14.5" x14ac:dyDescent="0.35">
      <c r="A278" s="271" t="str">
        <f t="shared" si="4"/>
        <v xml:space="preserve">P330063 </v>
      </c>
      <c r="B278" s="230" t="s">
        <v>1395</v>
      </c>
      <c r="C278" s="231">
        <v>4461</v>
      </c>
      <c r="D278" s="231"/>
      <c r="E278" s="231">
        <f>XledgerData[[#This Row],[Column1]]+XledgerData[[#This Row],[Year to date]]</f>
        <v>4461</v>
      </c>
      <c r="F278" s="131"/>
      <c r="J278" s="163"/>
      <c r="K278" s="162"/>
    </row>
    <row r="279" spans="1:14" ht="14.5" x14ac:dyDescent="0.35">
      <c r="A279" s="271" t="str">
        <f t="shared" si="4"/>
        <v xml:space="preserve">P330067 </v>
      </c>
      <c r="B279" s="230" t="s">
        <v>645</v>
      </c>
      <c r="C279" s="231">
        <v>7841</v>
      </c>
      <c r="D279" s="231"/>
      <c r="E279" s="231">
        <f>XledgerData[[#This Row],[Column1]]+XledgerData[[#This Row],[Year to date]]</f>
        <v>7841</v>
      </c>
      <c r="F279" s="131"/>
      <c r="J279" s="163"/>
      <c r="K279" s="162"/>
    </row>
    <row r="280" spans="1:14" ht="14.5" x14ac:dyDescent="0.35">
      <c r="A280" s="271" t="s">
        <v>918</v>
      </c>
      <c r="B280" s="230" t="s">
        <v>1596</v>
      </c>
      <c r="C280" s="231">
        <v>19750</v>
      </c>
      <c r="D280" s="231"/>
      <c r="E280" s="231">
        <f>XledgerData[[#This Row],[Column1]]+XledgerData[[#This Row],[Year to date]]</f>
        <v>19750</v>
      </c>
      <c r="F280" s="131"/>
      <c r="J280" s="163"/>
      <c r="K280" s="162"/>
      <c r="L280" s="28"/>
      <c r="M280" s="28"/>
      <c r="N280" s="28"/>
    </row>
    <row r="281" spans="1:14" s="28" customFormat="1" ht="14.5" x14ac:dyDescent="0.35">
      <c r="A281" s="263" t="str">
        <f t="shared" ref="A281:A312" si="5">LEFT(B281,FIND(" ",B281,1))</f>
        <v xml:space="preserve">P330069 </v>
      </c>
      <c r="B281" s="252" t="s">
        <v>646</v>
      </c>
      <c r="C281" s="222">
        <v>4114</v>
      </c>
      <c r="D281" s="222"/>
      <c r="E281" s="222">
        <f>XledgerData[[#This Row],[Column1]]+XledgerData[[#This Row],[Year to date]]</f>
        <v>4114</v>
      </c>
      <c r="F281" s="131"/>
      <c r="J281" s="163"/>
      <c r="K281" s="162"/>
    </row>
    <row r="282" spans="1:14" s="28" customFormat="1" ht="14.5" x14ac:dyDescent="0.35">
      <c r="A282" s="271" t="str">
        <f t="shared" si="5"/>
        <v xml:space="preserve">P330070 </v>
      </c>
      <c r="B282" s="230" t="s">
        <v>1458</v>
      </c>
      <c r="C282" s="231">
        <v>6253</v>
      </c>
      <c r="D282" s="231"/>
      <c r="E282" s="231">
        <f>XledgerData[[#This Row],[Column1]]+XledgerData[[#This Row],[Year to date]]</f>
        <v>6253</v>
      </c>
      <c r="F282" s="131"/>
      <c r="J282" s="163"/>
      <c r="K282" s="162"/>
      <c r="L282" s="25"/>
      <c r="M282" s="25"/>
      <c r="N282" s="25"/>
    </row>
    <row r="283" spans="1:14" ht="14.5" x14ac:dyDescent="0.35">
      <c r="A283" s="277" t="str">
        <f t="shared" si="5"/>
        <v xml:space="preserve">P330078 </v>
      </c>
      <c r="B283" s="278" t="s">
        <v>651</v>
      </c>
      <c r="C283" s="279">
        <v>20640</v>
      </c>
      <c r="D283" s="279"/>
      <c r="E283" s="279">
        <f>XledgerData[[#This Row],[Column1]]+XledgerData[[#This Row],[Year to date]]</f>
        <v>20640</v>
      </c>
      <c r="F283" s="131"/>
      <c r="J283" s="163"/>
      <c r="K283" s="162"/>
    </row>
    <row r="284" spans="1:14" ht="14.5" x14ac:dyDescent="0.35">
      <c r="A284" s="136" t="str">
        <f t="shared" si="5"/>
        <v xml:space="preserve">P330082 </v>
      </c>
      <c r="B284" s="206" t="s">
        <v>1358</v>
      </c>
      <c r="C284" s="183">
        <v>16000</v>
      </c>
      <c r="D284" s="159"/>
      <c r="E284" s="145">
        <f>XledgerData[[#This Row],[Column1]]+XledgerData[[#This Row],[Year to date]]</f>
        <v>16000</v>
      </c>
      <c r="F284" s="131"/>
      <c r="J284" s="163"/>
      <c r="K284" s="162"/>
    </row>
    <row r="285" spans="1:14" ht="14.5" x14ac:dyDescent="0.35">
      <c r="A285" s="277" t="str">
        <f t="shared" si="5"/>
        <v xml:space="preserve">P330085 </v>
      </c>
      <c r="B285" s="278" t="s">
        <v>1593</v>
      </c>
      <c r="C285" s="279">
        <v>72892</v>
      </c>
      <c r="D285" s="279">
        <v>3000</v>
      </c>
      <c r="E285" s="279">
        <f>XledgerData[[#This Row],[Column1]]+XledgerData[[#This Row],[Year to date]]</f>
        <v>75892</v>
      </c>
      <c r="F285" s="131"/>
      <c r="J285" s="163"/>
      <c r="K285" s="162"/>
    </row>
    <row r="286" spans="1:14" ht="14.5" x14ac:dyDescent="0.35">
      <c r="A286" s="263" t="str">
        <f t="shared" si="5"/>
        <v xml:space="preserve">P330107 </v>
      </c>
      <c r="B286" s="252" t="s">
        <v>664</v>
      </c>
      <c r="C286" s="222">
        <v>15050</v>
      </c>
      <c r="D286" s="222"/>
      <c r="E286" s="222">
        <f>XledgerData[[#This Row],[Column1]]+XledgerData[[#This Row],[Year to date]]</f>
        <v>15050</v>
      </c>
      <c r="F286" s="131"/>
      <c r="J286" s="163"/>
      <c r="K286" s="162"/>
    </row>
    <row r="287" spans="1:14" ht="14.5" x14ac:dyDescent="0.35">
      <c r="A287" s="132" t="str">
        <f t="shared" si="5"/>
        <v xml:space="preserve">P330111 </v>
      </c>
      <c r="B287" s="194" t="s">
        <v>1545</v>
      </c>
      <c r="C287" s="170">
        <v>14000</v>
      </c>
      <c r="D287" s="128"/>
      <c r="E287" s="145">
        <f>XledgerData[[#This Row],[Column1]]+XledgerData[[#This Row],[Year to date]]</f>
        <v>14000</v>
      </c>
      <c r="F287" s="131"/>
      <c r="J287" s="163"/>
      <c r="K287" s="162"/>
    </row>
    <row r="288" spans="1:14" ht="14.5" x14ac:dyDescent="0.35">
      <c r="A288" s="263" t="str">
        <f t="shared" si="5"/>
        <v xml:space="preserve">P330115 </v>
      </c>
      <c r="B288" s="252" t="s">
        <v>669</v>
      </c>
      <c r="C288" s="222">
        <v>10066</v>
      </c>
      <c r="D288" s="222"/>
      <c r="E288" s="222">
        <f>XledgerData[[#This Row],[Column1]]+XledgerData[[#This Row],[Year to date]]</f>
        <v>10066</v>
      </c>
      <c r="F288" s="131"/>
      <c r="J288" s="163"/>
      <c r="K288" s="162"/>
    </row>
    <row r="289" spans="1:14" ht="14.5" x14ac:dyDescent="0.35">
      <c r="A289" s="263" t="str">
        <f t="shared" si="5"/>
        <v xml:space="preserve">P330117 </v>
      </c>
      <c r="B289" s="252" t="s">
        <v>670</v>
      </c>
      <c r="C289" s="222">
        <v>7927</v>
      </c>
      <c r="D289" s="222"/>
      <c r="E289" s="222">
        <f>XledgerData[[#This Row],[Column1]]+XledgerData[[#This Row],[Year to date]]</f>
        <v>7927</v>
      </c>
      <c r="F289" s="131"/>
      <c r="J289" s="163"/>
      <c r="K289" s="162"/>
    </row>
    <row r="290" spans="1:14" ht="14.5" x14ac:dyDescent="0.35">
      <c r="A290" s="259" t="str">
        <f t="shared" si="5"/>
        <v xml:space="preserve">P330119 </v>
      </c>
      <c r="B290" s="257" t="s">
        <v>671</v>
      </c>
      <c r="C290" s="258">
        <v>23116</v>
      </c>
      <c r="D290" s="258"/>
      <c r="E290" s="258">
        <f>XledgerData[[#This Row],[Column1]]+XledgerData[[#This Row],[Year to date]]</f>
        <v>23116</v>
      </c>
      <c r="F290" s="131"/>
      <c r="J290" s="163"/>
      <c r="K290" s="162"/>
    </row>
    <row r="291" spans="1:14" ht="14.5" x14ac:dyDescent="0.35">
      <c r="A291" s="259" t="str">
        <f t="shared" si="5"/>
        <v xml:space="preserve">P330124 </v>
      </c>
      <c r="B291" s="257" t="s">
        <v>674</v>
      </c>
      <c r="C291" s="258">
        <v>8372</v>
      </c>
      <c r="D291" s="258"/>
      <c r="E291" s="258">
        <f>XledgerData[[#This Row],[Column1]]+XledgerData[[#This Row],[Year to date]]</f>
        <v>8372</v>
      </c>
      <c r="F291" s="131"/>
      <c r="J291" s="163"/>
      <c r="K291" s="162"/>
    </row>
    <row r="292" spans="1:14" ht="14.5" x14ac:dyDescent="0.35">
      <c r="A292" s="259" t="str">
        <f t="shared" si="5"/>
        <v xml:space="preserve">P330126 </v>
      </c>
      <c r="B292" s="257" t="s">
        <v>676</v>
      </c>
      <c r="C292" s="258">
        <v>26702</v>
      </c>
      <c r="D292" s="258"/>
      <c r="E292" s="258">
        <f>XledgerData[[#This Row],[Column1]]+XledgerData[[#This Row],[Year to date]]</f>
        <v>26702</v>
      </c>
      <c r="F292" s="131"/>
      <c r="J292" s="163"/>
      <c r="K292" s="162"/>
    </row>
    <row r="293" spans="1:14" ht="14.5" x14ac:dyDescent="0.35">
      <c r="A293" s="259" t="str">
        <f t="shared" si="5"/>
        <v xml:space="preserve">P330131 </v>
      </c>
      <c r="B293" s="257" t="s">
        <v>679</v>
      </c>
      <c r="C293" s="258">
        <v>5112</v>
      </c>
      <c r="D293" s="258"/>
      <c r="E293" s="258">
        <f>XledgerData[[#This Row],[Column1]]+XledgerData[[#This Row],[Year to date]]</f>
        <v>5112</v>
      </c>
      <c r="F293" s="131"/>
      <c r="J293" s="163"/>
      <c r="K293" s="162"/>
    </row>
    <row r="294" spans="1:14" ht="14.5" x14ac:dyDescent="0.35">
      <c r="A294" s="264" t="str">
        <f t="shared" si="5"/>
        <v xml:space="preserve">P330136 </v>
      </c>
      <c r="B294" s="265" t="s">
        <v>1463</v>
      </c>
      <c r="C294" s="266">
        <v>6100</v>
      </c>
      <c r="D294" s="266"/>
      <c r="E294" s="266">
        <f>XledgerData[[#This Row],[Column1]]+XledgerData[[#This Row],[Year to date]]</f>
        <v>6100</v>
      </c>
      <c r="F294" s="131"/>
      <c r="J294" s="163"/>
      <c r="K294" s="162"/>
    </row>
    <row r="295" spans="1:14" ht="14.5" x14ac:dyDescent="0.35">
      <c r="A295" s="259" t="str">
        <f t="shared" si="5"/>
        <v xml:space="preserve">P330139 </v>
      </c>
      <c r="B295" s="257" t="s">
        <v>685</v>
      </c>
      <c r="C295" s="258">
        <v>8689</v>
      </c>
      <c r="D295" s="258"/>
      <c r="E295" s="258">
        <f>XledgerData[[#This Row],[Column1]]+XledgerData[[#This Row],[Year to date]]</f>
        <v>8689</v>
      </c>
      <c r="F295" s="131"/>
      <c r="J295" s="163"/>
      <c r="K295" s="162"/>
    </row>
    <row r="296" spans="1:14" ht="14.5" x14ac:dyDescent="0.35">
      <c r="A296" s="220" t="str">
        <f t="shared" si="5"/>
        <v xml:space="preserve">P330141 </v>
      </c>
      <c r="B296" s="228" t="s">
        <v>1607</v>
      </c>
      <c r="C296" s="221">
        <v>17214</v>
      </c>
      <c r="D296" s="221"/>
      <c r="E296" s="221">
        <f>XledgerData[[#This Row],[Column1]]+XledgerData[[#This Row],[Year to date]]</f>
        <v>17214</v>
      </c>
      <c r="F296" s="131"/>
      <c r="J296" s="163"/>
      <c r="K296" s="162"/>
    </row>
    <row r="297" spans="1:14" ht="14.5" x14ac:dyDescent="0.35">
      <c r="A297" s="220" t="str">
        <f t="shared" si="5"/>
        <v xml:space="preserve">P330142 </v>
      </c>
      <c r="B297" s="228" t="s">
        <v>687</v>
      </c>
      <c r="C297" s="221">
        <v>5000</v>
      </c>
      <c r="D297" s="221"/>
      <c r="E297" s="221">
        <f>XledgerData[[#This Row],[Column1]]+XledgerData[[#This Row],[Year to date]]</f>
        <v>5000</v>
      </c>
      <c r="F297" s="131"/>
      <c r="J297" s="163"/>
      <c r="K297" s="162"/>
    </row>
    <row r="298" spans="1:14" ht="14.5" x14ac:dyDescent="0.35">
      <c r="A298" s="220" t="str">
        <f t="shared" si="5"/>
        <v xml:space="preserve">P330143 </v>
      </c>
      <c r="B298" s="228" t="s">
        <v>1401</v>
      </c>
      <c r="C298" s="221">
        <v>2167</v>
      </c>
      <c r="D298" s="221"/>
      <c r="E298" s="221">
        <f>XledgerData[[#This Row],[Column1]]+XledgerData[[#This Row],[Year to date]]</f>
        <v>2167</v>
      </c>
      <c r="F298" s="131"/>
      <c r="J298" s="163"/>
      <c r="K298" s="162"/>
      <c r="L298" s="28"/>
      <c r="M298" s="28"/>
      <c r="N298" s="28"/>
    </row>
    <row r="299" spans="1:14" s="28" customFormat="1" ht="14.5" x14ac:dyDescent="0.35">
      <c r="A299" s="220" t="str">
        <f t="shared" si="5"/>
        <v xml:space="preserve">P330145 </v>
      </c>
      <c r="B299" s="228" t="s">
        <v>1508</v>
      </c>
      <c r="C299" s="221">
        <v>12293</v>
      </c>
      <c r="D299" s="221"/>
      <c r="E299" s="221">
        <f>XledgerData[[#This Row],[Column1]]+XledgerData[[#This Row],[Year to date]]</f>
        <v>12293</v>
      </c>
      <c r="F299" s="131"/>
      <c r="J299" s="163"/>
      <c r="K299" s="162"/>
      <c r="L299" s="25"/>
      <c r="M299" s="25"/>
      <c r="N299" s="25"/>
    </row>
    <row r="300" spans="1:14" ht="14.5" x14ac:dyDescent="0.35">
      <c r="A300" s="220" t="str">
        <f t="shared" si="5"/>
        <v xml:space="preserve">P330146 </v>
      </c>
      <c r="B300" s="228" t="s">
        <v>688</v>
      </c>
      <c r="C300" s="221">
        <v>11605</v>
      </c>
      <c r="D300" s="221"/>
      <c r="E300" s="221">
        <f>XledgerData[[#This Row],[Column1]]+XledgerData[[#This Row],[Year to date]]</f>
        <v>11605</v>
      </c>
      <c r="F300" s="131"/>
      <c r="J300" s="163"/>
      <c r="K300" s="162"/>
    </row>
    <row r="301" spans="1:14" x14ac:dyDescent="0.3">
      <c r="A301" s="220" t="str">
        <f t="shared" si="5"/>
        <v xml:space="preserve">P330148 </v>
      </c>
      <c r="B301" s="228" t="s">
        <v>1402</v>
      </c>
      <c r="C301" s="221">
        <v>4787</v>
      </c>
      <c r="D301" s="221">
        <v>250</v>
      </c>
      <c r="E301" s="221">
        <f>XledgerData[[#This Row],[Column1]]+XledgerData[[#This Row],[Year to date]]</f>
        <v>5037</v>
      </c>
      <c r="F301" s="131"/>
    </row>
    <row r="302" spans="1:14" x14ac:dyDescent="0.3">
      <c r="A302" s="220" t="str">
        <f t="shared" si="5"/>
        <v xml:space="preserve">P330149 </v>
      </c>
      <c r="B302" s="228" t="s">
        <v>1509</v>
      </c>
      <c r="C302" s="221">
        <v>6383</v>
      </c>
      <c r="D302" s="221"/>
      <c r="E302" s="221">
        <f>XledgerData[[#This Row],[Column1]]+XledgerData[[#This Row],[Year to date]]</f>
        <v>6383</v>
      </c>
      <c r="F302" s="131"/>
      <c r="K302" s="142"/>
    </row>
    <row r="303" spans="1:14" x14ac:dyDescent="0.3">
      <c r="A303" s="137" t="str">
        <f t="shared" si="5"/>
        <v xml:space="preserve">P330156 </v>
      </c>
      <c r="B303" s="195" t="s">
        <v>1404</v>
      </c>
      <c r="C303" s="173">
        <v>14825</v>
      </c>
      <c r="D303" s="128"/>
      <c r="E303" s="145">
        <f>XledgerData[[#This Row],[Column1]]+XledgerData[[#This Row],[Year to date]]</f>
        <v>14825</v>
      </c>
      <c r="F303" s="131"/>
    </row>
    <row r="304" spans="1:14" ht="14.5" x14ac:dyDescent="0.35">
      <c r="A304" s="220" t="str">
        <f t="shared" si="5"/>
        <v xml:space="preserve">P330162 </v>
      </c>
      <c r="B304" s="228" t="s">
        <v>1405</v>
      </c>
      <c r="C304" s="221">
        <v>6000</v>
      </c>
      <c r="D304" s="221">
        <v>1500</v>
      </c>
      <c r="E304" s="221">
        <f>XledgerData[[#This Row],[Column1]]+XledgerData[[#This Row],[Year to date]]</f>
        <v>7500</v>
      </c>
      <c r="F304" s="131"/>
      <c r="J304" s="163"/>
      <c r="K304" s="162"/>
    </row>
    <row r="305" spans="1:14" ht="14.5" x14ac:dyDescent="0.35">
      <c r="A305" s="354" t="str">
        <f t="shared" si="5"/>
        <v xml:space="preserve">P330163 </v>
      </c>
      <c r="B305" s="228" t="s">
        <v>1406</v>
      </c>
      <c r="C305" s="221">
        <v>13750</v>
      </c>
      <c r="D305" s="221">
        <f>-2500+4750</f>
        <v>2250</v>
      </c>
      <c r="E305" s="221">
        <f>XledgerData[[#This Row],[Column1]]+XledgerData[[#This Row],[Year to date]]</f>
        <v>16000</v>
      </c>
      <c r="F305" s="131"/>
      <c r="J305" s="163"/>
      <c r="K305" s="162"/>
    </row>
    <row r="306" spans="1:14" ht="14.5" x14ac:dyDescent="0.35">
      <c r="A306" s="123" t="str">
        <f t="shared" si="5"/>
        <v xml:space="preserve">P330166 </v>
      </c>
      <c r="B306" s="195" t="s">
        <v>1511</v>
      </c>
      <c r="C306" s="173">
        <v>15300</v>
      </c>
      <c r="D306" s="159"/>
      <c r="E306" s="145">
        <f>XledgerData[[#This Row],[Column1]]+XledgerData[[#This Row],[Year to date]]</f>
        <v>15300</v>
      </c>
      <c r="F306" s="131"/>
      <c r="J306" s="163"/>
      <c r="K306" s="162"/>
      <c r="M306" s="141"/>
      <c r="N306" s="139"/>
    </row>
    <row r="307" spans="1:14" ht="14.5" x14ac:dyDescent="0.35">
      <c r="A307" s="220" t="str">
        <f t="shared" si="5"/>
        <v xml:space="preserve">P330167 </v>
      </c>
      <c r="B307" s="228" t="s">
        <v>698</v>
      </c>
      <c r="C307" s="221">
        <v>5319</v>
      </c>
      <c r="D307" s="221"/>
      <c r="E307" s="221">
        <f>XledgerData[[#This Row],[Column1]]+XledgerData[[#This Row],[Year to date]]</f>
        <v>5319</v>
      </c>
      <c r="F307" s="131"/>
      <c r="J307" s="163"/>
      <c r="K307" s="162"/>
    </row>
    <row r="308" spans="1:14" ht="14.5" x14ac:dyDescent="0.35">
      <c r="A308" s="220" t="str">
        <f t="shared" si="5"/>
        <v xml:space="preserve">P330168 </v>
      </c>
      <c r="B308" s="228" t="s">
        <v>699</v>
      </c>
      <c r="C308" s="221">
        <v>24410</v>
      </c>
      <c r="D308" s="221"/>
      <c r="E308" s="221">
        <f>XledgerData[[#This Row],[Column1]]+XledgerData[[#This Row],[Year to date]]</f>
        <v>24410</v>
      </c>
      <c r="F308" s="131"/>
      <c r="J308" s="163"/>
      <c r="K308" s="162"/>
    </row>
    <row r="309" spans="1:14" ht="14.5" x14ac:dyDescent="0.35">
      <c r="A309" s="253" t="str">
        <f t="shared" si="5"/>
        <v xml:space="preserve">P330172 </v>
      </c>
      <c r="B309" s="223" t="s">
        <v>1465</v>
      </c>
      <c r="C309" s="224">
        <v>1700</v>
      </c>
      <c r="D309" s="224"/>
      <c r="E309" s="224">
        <f>XledgerData[[#This Row],[Column1]]+XledgerData[[#This Row],[Year to date]]</f>
        <v>1700</v>
      </c>
      <c r="F309" s="131"/>
      <c r="J309" s="163"/>
      <c r="K309" s="162"/>
    </row>
    <row r="310" spans="1:14" ht="14.5" x14ac:dyDescent="0.35">
      <c r="A310" s="253" t="str">
        <f t="shared" si="5"/>
        <v xml:space="preserve">P330174 </v>
      </c>
      <c r="B310" s="223" t="s">
        <v>1407</v>
      </c>
      <c r="C310" s="224">
        <v>4397</v>
      </c>
      <c r="D310" s="224"/>
      <c r="E310" s="224">
        <f>XledgerData[[#This Row],[Column1]]+XledgerData[[#This Row],[Year to date]]</f>
        <v>4397</v>
      </c>
      <c r="F310" s="131"/>
      <c r="J310" s="163"/>
      <c r="K310" s="162"/>
    </row>
    <row r="311" spans="1:14" ht="14.5" x14ac:dyDescent="0.35">
      <c r="A311" s="253" t="str">
        <f t="shared" si="5"/>
        <v xml:space="preserve">P330177 </v>
      </c>
      <c r="B311" s="223" t="s">
        <v>703</v>
      </c>
      <c r="C311" s="224">
        <v>4397</v>
      </c>
      <c r="D311" s="224"/>
      <c r="E311" s="224">
        <f>XledgerData[[#This Row],[Column1]]+XledgerData[[#This Row],[Year to date]]</f>
        <v>4397</v>
      </c>
      <c r="F311" s="131"/>
      <c r="J311" s="163"/>
      <c r="K311" s="162"/>
    </row>
    <row r="312" spans="1:14" ht="14.5" x14ac:dyDescent="0.35">
      <c r="A312" s="253" t="str">
        <f t="shared" si="5"/>
        <v xml:space="preserve">P330185 </v>
      </c>
      <c r="B312" s="223" t="s">
        <v>1512</v>
      </c>
      <c r="C312" s="224">
        <v>3800</v>
      </c>
      <c r="D312" s="224"/>
      <c r="E312" s="224">
        <f>XledgerData[[#This Row],[Column1]]+XledgerData[[#This Row],[Year to date]]</f>
        <v>3800</v>
      </c>
      <c r="F312" s="131"/>
      <c r="J312" s="163"/>
      <c r="K312" s="162"/>
    </row>
    <row r="313" spans="1:14" s="28" customFormat="1" ht="14.5" x14ac:dyDescent="0.35">
      <c r="A313" s="253" t="str">
        <f t="shared" ref="A313:A344" si="6">LEFT(B313,FIND(" ",B313,1))</f>
        <v xml:space="preserve">P330187 </v>
      </c>
      <c r="B313" s="308" t="s">
        <v>707</v>
      </c>
      <c r="C313" s="224">
        <v>4115</v>
      </c>
      <c r="D313" s="224"/>
      <c r="E313" s="224">
        <f>XledgerData[[#This Row],[Column1]]+XledgerData[[#This Row],[Year to date]]</f>
        <v>4115</v>
      </c>
      <c r="F313" s="131"/>
      <c r="J313" s="163"/>
      <c r="K313" s="162"/>
    </row>
    <row r="314" spans="1:14" ht="14.5" x14ac:dyDescent="0.35">
      <c r="A314" s="253" t="str">
        <f t="shared" si="6"/>
        <v xml:space="preserve">P330188 </v>
      </c>
      <c r="B314" s="223" t="s">
        <v>1409</v>
      </c>
      <c r="C314" s="224">
        <v>6591</v>
      </c>
      <c r="D314" s="224"/>
      <c r="E314" s="224">
        <f>XledgerData[[#This Row],[Column1]]+XledgerData[[#This Row],[Year to date]]</f>
        <v>6591</v>
      </c>
      <c r="F314" s="131"/>
      <c r="J314" s="104"/>
    </row>
    <row r="315" spans="1:14" ht="14.5" x14ac:dyDescent="0.35">
      <c r="A315" s="253" t="str">
        <f t="shared" si="6"/>
        <v xml:space="preserve">P330189 </v>
      </c>
      <c r="B315" s="223" t="s">
        <v>708</v>
      </c>
      <c r="C315" s="224">
        <v>8245</v>
      </c>
      <c r="D315" s="224"/>
      <c r="E315" s="224">
        <f>XledgerData[[#This Row],[Column1]]+XledgerData[[#This Row],[Year to date]]</f>
        <v>8245</v>
      </c>
      <c r="F315" s="131"/>
      <c r="K315" s="162"/>
    </row>
    <row r="316" spans="1:14" x14ac:dyDescent="0.3">
      <c r="A316" s="113" t="str">
        <f t="shared" si="6"/>
        <v xml:space="preserve">P330190 </v>
      </c>
      <c r="B316" s="196" t="s">
        <v>1513</v>
      </c>
      <c r="C316" s="155">
        <v>3000</v>
      </c>
      <c r="D316" s="128"/>
      <c r="E316" s="145">
        <f>XledgerData[[#This Row],[Column1]]+XledgerData[[#This Row],[Year to date]]</f>
        <v>3000</v>
      </c>
      <c r="F316" s="131"/>
      <c r="J316" s="28"/>
    </row>
    <row r="317" spans="1:14" s="28" customFormat="1" x14ac:dyDescent="0.3">
      <c r="A317" s="253" t="str">
        <f t="shared" si="6"/>
        <v xml:space="preserve">P330192 </v>
      </c>
      <c r="B317" s="223" t="s">
        <v>1470</v>
      </c>
      <c r="C317" s="224">
        <v>5000</v>
      </c>
      <c r="D317" s="224"/>
      <c r="E317" s="224">
        <f>XledgerData[[#This Row],[Column1]]+XledgerData[[#This Row],[Year to date]]</f>
        <v>5000</v>
      </c>
      <c r="F317" s="131"/>
      <c r="J317" s="25"/>
      <c r="K317" s="139"/>
    </row>
    <row r="318" spans="1:14" x14ac:dyDescent="0.3">
      <c r="A318" s="253" t="str">
        <f t="shared" si="6"/>
        <v xml:space="preserve">P330193 </v>
      </c>
      <c r="B318" s="223" t="s">
        <v>710</v>
      </c>
      <c r="C318" s="224">
        <v>2970</v>
      </c>
      <c r="D318" s="224"/>
      <c r="E318" s="224">
        <f>XledgerData[[#This Row],[Column1]]+XledgerData[[#This Row],[Year to date]]</f>
        <v>2970</v>
      </c>
      <c r="F318" s="131"/>
    </row>
    <row r="319" spans="1:14" x14ac:dyDescent="0.3">
      <c r="A319" s="114" t="str">
        <f t="shared" si="6"/>
        <v xml:space="preserve">P330195 </v>
      </c>
      <c r="B319" s="196" t="s">
        <v>1608</v>
      </c>
      <c r="C319" s="155">
        <v>1700</v>
      </c>
      <c r="D319" s="291"/>
      <c r="E319" s="300">
        <f>XledgerData[[#This Row],[Column1]]+XledgerData[[#This Row],[Year to date]]</f>
        <v>1700</v>
      </c>
      <c r="F319" s="131"/>
    </row>
    <row r="320" spans="1:14" s="28" customFormat="1" x14ac:dyDescent="0.3">
      <c r="A320" s="264" t="str">
        <f t="shared" si="6"/>
        <v xml:space="preserve">P330198 </v>
      </c>
      <c r="B320" s="265" t="s">
        <v>1410</v>
      </c>
      <c r="C320" s="266">
        <v>11000</v>
      </c>
      <c r="D320" s="266"/>
      <c r="E320" s="266">
        <f>XledgerData[[#This Row],[Column1]]+XledgerData[[#This Row],[Year to date]]</f>
        <v>11000</v>
      </c>
      <c r="F320" s="131"/>
    </row>
    <row r="321" spans="1:6" x14ac:dyDescent="0.3">
      <c r="A321" s="264" t="str">
        <f t="shared" si="6"/>
        <v xml:space="preserve">P330201 </v>
      </c>
      <c r="B321" s="265" t="s">
        <v>1412</v>
      </c>
      <c r="C321" s="266">
        <v>5500</v>
      </c>
      <c r="D321" s="266"/>
      <c r="E321" s="266">
        <f>XledgerData[[#This Row],[Column1]]+XledgerData[[#This Row],[Year to date]]</f>
        <v>5500</v>
      </c>
      <c r="F321" s="131"/>
    </row>
    <row r="322" spans="1:6" x14ac:dyDescent="0.3">
      <c r="A322" s="264" t="str">
        <f t="shared" si="6"/>
        <v xml:space="preserve">P330202 </v>
      </c>
      <c r="B322" s="265" t="s">
        <v>1472</v>
      </c>
      <c r="C322" s="266">
        <v>2000</v>
      </c>
      <c r="D322" s="266"/>
      <c r="E322" s="266">
        <f>XledgerData[[#This Row],[Column1]]+XledgerData[[#This Row],[Year to date]]</f>
        <v>2000</v>
      </c>
      <c r="F322" s="131"/>
    </row>
    <row r="323" spans="1:6" x14ac:dyDescent="0.3">
      <c r="A323" s="264" t="str">
        <f t="shared" si="6"/>
        <v xml:space="preserve">P330206 </v>
      </c>
      <c r="B323" s="265" t="s">
        <v>713</v>
      </c>
      <c r="C323" s="266">
        <v>6208</v>
      </c>
      <c r="D323" s="266"/>
      <c r="E323" s="266">
        <f>XledgerData[[#This Row],[Column1]]+XledgerData[[#This Row],[Year to date]]</f>
        <v>6208</v>
      </c>
      <c r="F323" s="131"/>
    </row>
    <row r="324" spans="1:6" x14ac:dyDescent="0.3">
      <c r="A324" s="264" t="str">
        <f t="shared" si="6"/>
        <v xml:space="preserve">P330207 </v>
      </c>
      <c r="B324" s="265" t="s">
        <v>1414</v>
      </c>
      <c r="C324" s="266">
        <v>9300</v>
      </c>
      <c r="D324" s="266"/>
      <c r="E324" s="266">
        <f>XledgerData[[#This Row],[Column1]]+XledgerData[[#This Row],[Year to date]]</f>
        <v>9300</v>
      </c>
      <c r="F324" s="131"/>
    </row>
    <row r="325" spans="1:6" x14ac:dyDescent="0.3">
      <c r="A325" s="292" t="str">
        <f t="shared" si="6"/>
        <v xml:space="preserve">P330208 </v>
      </c>
      <c r="B325" s="265" t="s">
        <v>1415</v>
      </c>
      <c r="C325" s="266">
        <v>9219</v>
      </c>
      <c r="D325" s="266"/>
      <c r="E325" s="266">
        <f>XledgerData[[#This Row],[Column1]]+XledgerData[[#This Row],[Year to date]]</f>
        <v>9219</v>
      </c>
      <c r="F325" s="131"/>
    </row>
    <row r="326" spans="1:6" x14ac:dyDescent="0.3">
      <c r="A326" s="264" t="str">
        <f t="shared" si="6"/>
        <v xml:space="preserve">P330209 </v>
      </c>
      <c r="B326" s="265" t="s">
        <v>1570</v>
      </c>
      <c r="C326" s="266">
        <v>2120</v>
      </c>
      <c r="D326" s="266"/>
      <c r="E326" s="266">
        <f>XledgerData[[#This Row],[Column1]]+XledgerData[[#This Row],[Year to date]]</f>
        <v>2120</v>
      </c>
      <c r="F326" s="131"/>
    </row>
    <row r="327" spans="1:6" s="28" customFormat="1" x14ac:dyDescent="0.3">
      <c r="A327" s="264" t="str">
        <f t="shared" si="6"/>
        <v xml:space="preserve">P330210 </v>
      </c>
      <c r="B327" s="265" t="s">
        <v>1416</v>
      </c>
      <c r="C327" s="266">
        <v>7800</v>
      </c>
      <c r="D327" s="172"/>
      <c r="E327" s="172">
        <f>XledgerData[[#This Row],[Column1]]+XledgerData[[#This Row],[Year to date]]</f>
        <v>7800</v>
      </c>
      <c r="F327" s="131"/>
    </row>
    <row r="328" spans="1:6" x14ac:dyDescent="0.3">
      <c r="A328" s="358" t="str">
        <f t="shared" si="6"/>
        <v xml:space="preserve">P330215 </v>
      </c>
      <c r="B328" s="265" t="s">
        <v>715</v>
      </c>
      <c r="C328" s="266">
        <v>19200</v>
      </c>
      <c r="D328" s="266">
        <v>2000</v>
      </c>
      <c r="E328" s="266">
        <f>XledgerData[[#This Row],[Column1]]+XledgerData[[#This Row],[Year to date]]</f>
        <v>21200</v>
      </c>
      <c r="F328" s="131"/>
    </row>
    <row r="329" spans="1:6" x14ac:dyDescent="0.3">
      <c r="A329" s="264" t="str">
        <f t="shared" si="6"/>
        <v xml:space="preserve">P330218 </v>
      </c>
      <c r="B329" s="265" t="s">
        <v>1548</v>
      </c>
      <c r="C329" s="266">
        <v>2000</v>
      </c>
      <c r="D329" s="266">
        <v>1320</v>
      </c>
      <c r="E329" s="266">
        <f>XledgerData[[#This Row],[Column1]]+XledgerData[[#This Row],[Year to date]]</f>
        <v>3320</v>
      </c>
      <c r="F329" s="131"/>
    </row>
    <row r="330" spans="1:6" s="28" customFormat="1" x14ac:dyDescent="0.3">
      <c r="A330" s="264" t="str">
        <f t="shared" si="6"/>
        <v xml:space="preserve">P330220 </v>
      </c>
      <c r="B330" s="265" t="s">
        <v>717</v>
      </c>
      <c r="C330" s="266">
        <v>10900</v>
      </c>
      <c r="D330" s="266"/>
      <c r="E330" s="266">
        <f>XledgerData[[#This Row],[Column1]]+XledgerData[[#This Row],[Year to date]]</f>
        <v>10900</v>
      </c>
      <c r="F330" s="131"/>
    </row>
    <row r="331" spans="1:6" x14ac:dyDescent="0.3">
      <c r="A331" s="264" t="str">
        <f t="shared" si="6"/>
        <v xml:space="preserve">P330221 </v>
      </c>
      <c r="B331" s="265" t="s">
        <v>1419</v>
      </c>
      <c r="C331" s="266">
        <v>3000</v>
      </c>
      <c r="D331" s="266"/>
      <c r="E331" s="266">
        <f>XledgerData[[#This Row],[Column1]]+XledgerData[[#This Row],[Year to date]]</f>
        <v>3000</v>
      </c>
      <c r="F331" s="131"/>
    </row>
    <row r="332" spans="1:6" x14ac:dyDescent="0.3">
      <c r="A332" s="264" t="str">
        <f t="shared" si="6"/>
        <v xml:space="preserve">P330222 </v>
      </c>
      <c r="B332" s="265" t="s">
        <v>1473</v>
      </c>
      <c r="C332" s="266">
        <v>27820</v>
      </c>
      <c r="D332" s="266"/>
      <c r="E332" s="266">
        <f>XledgerData[[#This Row],[Column1]]+XledgerData[[#This Row],[Year to date]]</f>
        <v>27820</v>
      </c>
      <c r="F332" s="131"/>
    </row>
    <row r="333" spans="1:6" x14ac:dyDescent="0.3">
      <c r="A333" s="264" t="str">
        <f t="shared" si="6"/>
        <v xml:space="preserve">P330223 </v>
      </c>
      <c r="B333" s="265" t="s">
        <v>1514</v>
      </c>
      <c r="C333" s="266">
        <v>4500</v>
      </c>
      <c r="D333" s="266"/>
      <c r="E333" s="266">
        <f>XledgerData[[#This Row],[Column1]]+XledgerData[[#This Row],[Year to date]]</f>
        <v>4500</v>
      </c>
      <c r="F333" s="131"/>
    </row>
    <row r="334" spans="1:6" x14ac:dyDescent="0.3">
      <c r="A334" s="272" t="str">
        <f t="shared" si="6"/>
        <v xml:space="preserve">P330227 </v>
      </c>
      <c r="B334" s="229" t="s">
        <v>1420</v>
      </c>
      <c r="C334" s="219">
        <v>7624</v>
      </c>
      <c r="D334" s="219"/>
      <c r="E334" s="219">
        <f>XledgerData[[#This Row],[Column1]]+XledgerData[[#This Row],[Year to date]]</f>
        <v>7624</v>
      </c>
      <c r="F334" s="131"/>
    </row>
    <row r="335" spans="1:6" x14ac:dyDescent="0.3">
      <c r="A335" s="272" t="str">
        <f t="shared" si="6"/>
        <v xml:space="preserve">P330228 </v>
      </c>
      <c r="B335" s="229" t="s">
        <v>1474</v>
      </c>
      <c r="C335" s="219">
        <v>7000</v>
      </c>
      <c r="D335" s="219">
        <v>2479</v>
      </c>
      <c r="E335" s="219">
        <f>XledgerData[[#This Row],[Column1]]+XledgerData[[#This Row],[Year to date]]</f>
        <v>9479</v>
      </c>
      <c r="F335" s="131"/>
    </row>
    <row r="336" spans="1:6" x14ac:dyDescent="0.3">
      <c r="A336" s="272" t="str">
        <f t="shared" si="6"/>
        <v xml:space="preserve">P330229 </v>
      </c>
      <c r="B336" s="229" t="s">
        <v>720</v>
      </c>
      <c r="C336" s="219">
        <v>7624</v>
      </c>
      <c r="D336" s="219"/>
      <c r="E336" s="219">
        <f>XledgerData[[#This Row],[Column1]]+XledgerData[[#This Row],[Year to date]]</f>
        <v>7624</v>
      </c>
      <c r="F336" s="131"/>
    </row>
    <row r="337" spans="1:6" x14ac:dyDescent="0.3">
      <c r="A337" s="121" t="str">
        <f t="shared" si="6"/>
        <v xml:space="preserve">P330235 </v>
      </c>
      <c r="B337" s="205" t="s">
        <v>1475</v>
      </c>
      <c r="C337" s="174">
        <v>5000</v>
      </c>
      <c r="D337" s="128"/>
      <c r="E337" s="145">
        <f>XledgerData[[#This Row],[Column1]]+XledgerData[[#This Row],[Year to date]]</f>
        <v>5000</v>
      </c>
      <c r="F337" s="131"/>
    </row>
    <row r="338" spans="1:6" x14ac:dyDescent="0.3">
      <c r="A338" s="272" t="str">
        <f t="shared" si="6"/>
        <v xml:space="preserve">P330238 </v>
      </c>
      <c r="B338" s="229" t="s">
        <v>1421</v>
      </c>
      <c r="C338" s="219">
        <v>3812</v>
      </c>
      <c r="D338" s="219"/>
      <c r="E338" s="219">
        <f>XledgerData[[#This Row],[Column1]]+XledgerData[[#This Row],[Year to date]]</f>
        <v>3812</v>
      </c>
      <c r="F338" s="131"/>
    </row>
    <row r="339" spans="1:6" x14ac:dyDescent="0.3">
      <c r="A339" s="272" t="str">
        <f t="shared" si="6"/>
        <v xml:space="preserve">P330243 </v>
      </c>
      <c r="B339" s="229" t="s">
        <v>1422</v>
      </c>
      <c r="C339" s="219">
        <v>4955</v>
      </c>
      <c r="D339" s="219"/>
      <c r="E339" s="219">
        <f>XledgerData[[#This Row],[Column1]]+XledgerData[[#This Row],[Year to date]]</f>
        <v>4955</v>
      </c>
      <c r="F339" s="131"/>
    </row>
    <row r="340" spans="1:6" s="28" customFormat="1" x14ac:dyDescent="0.3">
      <c r="A340" s="158" t="str">
        <f t="shared" si="6"/>
        <v xml:space="preserve">P330245 </v>
      </c>
      <c r="B340" s="205" t="s">
        <v>1615</v>
      </c>
      <c r="C340" s="174">
        <v>5000</v>
      </c>
      <c r="D340" s="128">
        <v>2630</v>
      </c>
      <c r="E340" s="145">
        <f>XledgerData[[#This Row],[Column1]]+XledgerData[[#This Row],[Year to date]]</f>
        <v>7630</v>
      </c>
      <c r="F340" s="131"/>
    </row>
    <row r="341" spans="1:6" x14ac:dyDescent="0.3">
      <c r="A341" s="272" t="str">
        <f t="shared" si="6"/>
        <v xml:space="preserve">P330246 </v>
      </c>
      <c r="B341" s="229" t="s">
        <v>729</v>
      </c>
      <c r="C341" s="219">
        <v>23383</v>
      </c>
      <c r="D341" s="219"/>
      <c r="E341" s="219">
        <f>XledgerData[[#This Row],[Column1]]+XledgerData[[#This Row],[Year to date]]</f>
        <v>23383</v>
      </c>
      <c r="F341" s="131"/>
    </row>
    <row r="342" spans="1:6" x14ac:dyDescent="0.3">
      <c r="A342" s="272" t="str">
        <f t="shared" si="6"/>
        <v xml:space="preserve">P330249 </v>
      </c>
      <c r="B342" s="229" t="s">
        <v>1423</v>
      </c>
      <c r="C342" s="219">
        <v>11375</v>
      </c>
      <c r="D342" s="219"/>
      <c r="E342" s="219">
        <f>XledgerData[[#This Row],[Column1]]+XledgerData[[#This Row],[Year to date]]</f>
        <v>11375</v>
      </c>
      <c r="F342" s="131"/>
    </row>
    <row r="343" spans="1:6" x14ac:dyDescent="0.3">
      <c r="A343" s="272" t="str">
        <f t="shared" si="6"/>
        <v xml:space="preserve">P330250 </v>
      </c>
      <c r="B343" s="229" t="s">
        <v>730</v>
      </c>
      <c r="C343" s="219">
        <v>47196</v>
      </c>
      <c r="D343" s="219"/>
      <c r="E343" s="219">
        <f>XledgerData[[#This Row],[Column1]]+XledgerData[[#This Row],[Year to date]]</f>
        <v>47196</v>
      </c>
      <c r="F343" s="131"/>
    </row>
    <row r="344" spans="1:6" x14ac:dyDescent="0.3">
      <c r="A344" s="269" t="str">
        <f t="shared" si="6"/>
        <v xml:space="preserve">P330258 </v>
      </c>
      <c r="B344" s="261" t="s">
        <v>733</v>
      </c>
      <c r="C344" s="262">
        <v>6369</v>
      </c>
      <c r="D344" s="262"/>
      <c r="E344" s="262">
        <f>XledgerData[[#This Row],[Column1]]+XledgerData[[#This Row],[Year to date]]</f>
        <v>6369</v>
      </c>
      <c r="F344" s="131"/>
    </row>
    <row r="345" spans="1:6" x14ac:dyDescent="0.3">
      <c r="A345" s="269" t="str">
        <f t="shared" ref="A345:A376" si="7">LEFT(B345,FIND(" ",B345,1))</f>
        <v xml:space="preserve">P330259 </v>
      </c>
      <c r="B345" s="261" t="s">
        <v>1425</v>
      </c>
      <c r="C345" s="262">
        <v>1305</v>
      </c>
      <c r="D345" s="262"/>
      <c r="E345" s="262">
        <f>XledgerData[[#This Row],[Column1]]+XledgerData[[#This Row],[Year to date]]</f>
        <v>1305</v>
      </c>
      <c r="F345" s="131"/>
    </row>
    <row r="346" spans="1:6" x14ac:dyDescent="0.3">
      <c r="A346" s="269" t="str">
        <f t="shared" si="7"/>
        <v xml:space="preserve">P330262 </v>
      </c>
      <c r="B346" s="261" t="s">
        <v>735</v>
      </c>
      <c r="C346" s="262">
        <v>20000</v>
      </c>
      <c r="D346" s="262"/>
      <c r="E346" s="262">
        <f>XledgerData[[#This Row],[Column1]]+XledgerData[[#This Row],[Year to date]]</f>
        <v>20000</v>
      </c>
      <c r="F346" s="131"/>
    </row>
    <row r="347" spans="1:6" x14ac:dyDescent="0.3">
      <c r="A347" s="157" t="str">
        <f t="shared" si="7"/>
        <v xml:space="preserve">P330266 </v>
      </c>
      <c r="B347" s="197" t="s">
        <v>1572</v>
      </c>
      <c r="C347" s="175">
        <v>2352</v>
      </c>
      <c r="D347" s="175">
        <v>82</v>
      </c>
      <c r="E347" s="175">
        <f>XledgerData[[#This Row],[Column1]]+XledgerData[[#This Row],[Year to date]]</f>
        <v>2434</v>
      </c>
      <c r="F347" s="131"/>
    </row>
    <row r="348" spans="1:6" x14ac:dyDescent="0.3">
      <c r="A348" s="269" t="str">
        <f t="shared" si="7"/>
        <v xml:space="preserve">P330268 </v>
      </c>
      <c r="B348" s="261" t="s">
        <v>736</v>
      </c>
      <c r="C348" s="262">
        <v>5478</v>
      </c>
      <c r="D348" s="262"/>
      <c r="E348" s="262">
        <f>XledgerData[[#This Row],[Column1]]+XledgerData[[#This Row],[Year to date]]</f>
        <v>5478</v>
      </c>
      <c r="F348" s="131"/>
    </row>
    <row r="349" spans="1:6" x14ac:dyDescent="0.3">
      <c r="A349" s="157" t="str">
        <f t="shared" si="7"/>
        <v xml:space="preserve">P330275 </v>
      </c>
      <c r="B349" s="197" t="s">
        <v>1517</v>
      </c>
      <c r="C349" s="175">
        <v>16000</v>
      </c>
      <c r="D349" s="355">
        <f>9233+2000</f>
        <v>11233</v>
      </c>
      <c r="E349" s="355">
        <f>XledgerData[[#This Row],[Column1]]+XledgerData[[#This Row],[Year to date]]</f>
        <v>27233</v>
      </c>
      <c r="F349" s="131"/>
    </row>
    <row r="350" spans="1:6" x14ac:dyDescent="0.3">
      <c r="A350" s="260" t="str">
        <f t="shared" si="7"/>
        <v xml:space="preserve">P330277 </v>
      </c>
      <c r="B350" s="261" t="s">
        <v>740</v>
      </c>
      <c r="C350" s="262">
        <v>5700</v>
      </c>
      <c r="D350" s="262"/>
      <c r="E350" s="262">
        <f>XledgerData[[#This Row],[Column1]]+XledgerData[[#This Row],[Year to date]]</f>
        <v>5700</v>
      </c>
      <c r="F350" s="131"/>
    </row>
    <row r="351" spans="1:6" x14ac:dyDescent="0.3">
      <c r="A351" s="260" t="str">
        <f t="shared" si="7"/>
        <v xml:space="preserve">P330280 </v>
      </c>
      <c r="B351" s="261" t="s">
        <v>742</v>
      </c>
      <c r="C351" s="262">
        <v>21500</v>
      </c>
      <c r="D351" s="273"/>
      <c r="E351" s="274">
        <f>XledgerData[[#This Row],[Column1]]+XledgerData[[#This Row],[Year to date]]</f>
        <v>21500</v>
      </c>
      <c r="F351" s="131"/>
    </row>
    <row r="352" spans="1:6" x14ac:dyDescent="0.3">
      <c r="A352" s="254" t="str">
        <f t="shared" si="7"/>
        <v xml:space="preserve">P330284 </v>
      </c>
      <c r="B352" s="255" t="s">
        <v>744</v>
      </c>
      <c r="C352" s="256">
        <v>8300</v>
      </c>
      <c r="D352" s="273"/>
      <c r="E352" s="274">
        <f>XledgerData[[#This Row],[Column1]]+XledgerData[[#This Row],[Year to date]]</f>
        <v>8300</v>
      </c>
      <c r="F352" s="131"/>
    </row>
    <row r="353" spans="1:6" x14ac:dyDescent="0.3">
      <c r="A353" s="254" t="str">
        <f t="shared" si="7"/>
        <v xml:space="preserve">P330289 </v>
      </c>
      <c r="B353" s="255" t="s">
        <v>748</v>
      </c>
      <c r="C353" s="256">
        <v>10562</v>
      </c>
      <c r="D353" s="273"/>
      <c r="E353" s="274">
        <f>XledgerData[[#This Row],[Column1]]+XledgerData[[#This Row],[Year to date]]</f>
        <v>10562</v>
      </c>
      <c r="F353" s="131"/>
    </row>
    <row r="354" spans="1:6" x14ac:dyDescent="0.3">
      <c r="A354" s="254" t="str">
        <f t="shared" si="7"/>
        <v xml:space="preserve">P330290 </v>
      </c>
      <c r="B354" s="255" t="s">
        <v>1518</v>
      </c>
      <c r="C354" s="256">
        <v>7500</v>
      </c>
      <c r="D354" s="256"/>
      <c r="E354" s="256">
        <f>XledgerData[[#This Row],[Column1]]+XledgerData[[#This Row],[Year to date]]</f>
        <v>7500</v>
      </c>
      <c r="F354" s="131"/>
    </row>
    <row r="355" spans="1:6" x14ac:dyDescent="0.3">
      <c r="A355" s="254" t="str">
        <f t="shared" si="7"/>
        <v xml:space="preserve">P330293 </v>
      </c>
      <c r="B355" s="255" t="s">
        <v>1431</v>
      </c>
      <c r="C355" s="256">
        <v>7000</v>
      </c>
      <c r="D355" s="273"/>
      <c r="E355" s="274">
        <f>XledgerData[[#This Row],[Column1]]+XledgerData[[#This Row],[Year to date]]</f>
        <v>7000</v>
      </c>
      <c r="F355" s="131"/>
    </row>
    <row r="356" spans="1:6" s="28" customFormat="1" x14ac:dyDescent="0.3">
      <c r="A356" s="138" t="str">
        <f t="shared" si="7"/>
        <v xml:space="preserve">P330294 </v>
      </c>
      <c r="B356" s="198" t="s">
        <v>1560</v>
      </c>
      <c r="C356" s="176">
        <v>8000</v>
      </c>
      <c r="D356" s="176">
        <v>1000</v>
      </c>
      <c r="E356" s="176">
        <f>XledgerData[[#This Row],[Column1]]+XledgerData[[#This Row],[Year to date]]</f>
        <v>9000</v>
      </c>
      <c r="F356" s="131"/>
    </row>
    <row r="357" spans="1:6" s="28" customFormat="1" x14ac:dyDescent="0.3">
      <c r="A357" s="125" t="str">
        <f t="shared" si="7"/>
        <v xml:space="preserve">P330300 </v>
      </c>
      <c r="B357" s="198" t="s">
        <v>1585</v>
      </c>
      <c r="C357" s="176">
        <v>1500</v>
      </c>
      <c r="D357" s="128"/>
      <c r="E357" s="145">
        <f>XledgerData[[#This Row],[Column1]]+XledgerData[[#This Row],[Year to date]]</f>
        <v>1500</v>
      </c>
      <c r="F357" s="131"/>
    </row>
    <row r="358" spans="1:6" x14ac:dyDescent="0.3">
      <c r="A358" s="138" t="str">
        <f t="shared" si="7"/>
        <v xml:space="preserve">P330301 </v>
      </c>
      <c r="B358" s="198" t="s">
        <v>1586</v>
      </c>
      <c r="C358" s="176">
        <v>500</v>
      </c>
      <c r="D358" s="128"/>
      <c r="E358" s="145">
        <f>XledgerData[[#This Row],[Column1]]+XledgerData[[#This Row],[Year to date]]</f>
        <v>500</v>
      </c>
      <c r="F358" s="131"/>
    </row>
    <row r="359" spans="1:6" x14ac:dyDescent="0.3">
      <c r="A359" s="254" t="str">
        <f t="shared" si="7"/>
        <v xml:space="preserve">P330302 </v>
      </c>
      <c r="B359" s="255" t="s">
        <v>1432</v>
      </c>
      <c r="C359" s="256">
        <v>23000</v>
      </c>
      <c r="D359" s="273">
        <v>10000</v>
      </c>
      <c r="E359" s="274">
        <f>XledgerData[[#This Row],[Column1]]+XledgerData[[#This Row],[Year to date]]</f>
        <v>33000</v>
      </c>
      <c r="F359" s="131"/>
    </row>
    <row r="360" spans="1:6" x14ac:dyDescent="0.3">
      <c r="A360" s="254" t="str">
        <f t="shared" si="7"/>
        <v xml:space="preserve">P330304 </v>
      </c>
      <c r="B360" s="255" t="s">
        <v>1519</v>
      </c>
      <c r="C360" s="256">
        <v>5500</v>
      </c>
      <c r="D360" s="273"/>
      <c r="E360" s="274">
        <f>XledgerData[[#This Row],[Column1]]+XledgerData[[#This Row],[Year to date]]</f>
        <v>5500</v>
      </c>
      <c r="F360" s="131"/>
    </row>
    <row r="361" spans="1:6" x14ac:dyDescent="0.3">
      <c r="A361" s="121" t="str">
        <f t="shared" si="7"/>
        <v xml:space="preserve">P330307 </v>
      </c>
      <c r="B361" s="205" t="s">
        <v>1361</v>
      </c>
      <c r="C361" s="174">
        <v>3600</v>
      </c>
      <c r="D361" s="128"/>
      <c r="E361" s="145">
        <f>XledgerData[[#This Row],[Column1]]+XledgerData[[#This Row],[Year to date]]</f>
        <v>3600</v>
      </c>
      <c r="F361" s="131"/>
    </row>
    <row r="362" spans="1:6" s="28" customFormat="1" x14ac:dyDescent="0.3">
      <c r="A362" s="166" t="str">
        <f t="shared" si="7"/>
        <v xml:space="preserve">P330308 </v>
      </c>
      <c r="B362" s="217" t="s">
        <v>755</v>
      </c>
      <c r="C362" s="268">
        <v>10017</v>
      </c>
      <c r="D362" s="268"/>
      <c r="E362" s="268">
        <f>XledgerData[[#This Row],[Column1]]+XledgerData[[#This Row],[Year to date]]</f>
        <v>10017</v>
      </c>
      <c r="F362" s="131"/>
    </row>
    <row r="363" spans="1:6" x14ac:dyDescent="0.3">
      <c r="A363" s="166" t="str">
        <f t="shared" si="7"/>
        <v xml:space="preserve">P330312 </v>
      </c>
      <c r="B363" s="217" t="s">
        <v>759</v>
      </c>
      <c r="C363" s="268">
        <v>157600</v>
      </c>
      <c r="D363" s="268"/>
      <c r="E363" s="268">
        <f>XledgerData[[#This Row],[Column1]]+XledgerData[[#This Row],[Year to date]]</f>
        <v>157600</v>
      </c>
      <c r="F363" s="131"/>
    </row>
    <row r="364" spans="1:6" s="28" customFormat="1" x14ac:dyDescent="0.3">
      <c r="A364" s="166" t="str">
        <f t="shared" si="7"/>
        <v xml:space="preserve">P330316 </v>
      </c>
      <c r="B364" s="217" t="s">
        <v>1478</v>
      </c>
      <c r="C364" s="268">
        <v>2500</v>
      </c>
      <c r="D364" s="268"/>
      <c r="E364" s="268">
        <f>XledgerData[[#This Row],[Column1]]+XledgerData[[#This Row],[Year to date]]</f>
        <v>2500</v>
      </c>
      <c r="F364" s="131"/>
    </row>
    <row r="365" spans="1:6" x14ac:dyDescent="0.3">
      <c r="A365" s="166" t="str">
        <f t="shared" si="7"/>
        <v xml:space="preserve">P330323 </v>
      </c>
      <c r="B365" s="217" t="s">
        <v>1520</v>
      </c>
      <c r="C365" s="268">
        <v>5510</v>
      </c>
      <c r="D365" s="268"/>
      <c r="E365" s="268">
        <f>XledgerData[[#This Row],[Column1]]+XledgerData[[#This Row],[Year to date]]</f>
        <v>5510</v>
      </c>
      <c r="F365" s="131"/>
    </row>
    <row r="366" spans="1:6" x14ac:dyDescent="0.3">
      <c r="A366" s="253" t="str">
        <f t="shared" si="7"/>
        <v xml:space="preserve">P330324 </v>
      </c>
      <c r="B366" s="223" t="s">
        <v>762</v>
      </c>
      <c r="C366" s="224">
        <v>5164</v>
      </c>
      <c r="D366" s="224"/>
      <c r="E366" s="224">
        <f>XledgerData[[#This Row],[Column1]]+XledgerData[[#This Row],[Year to date]]</f>
        <v>5164</v>
      </c>
      <c r="F366" s="131"/>
    </row>
    <row r="367" spans="1:6" x14ac:dyDescent="0.3">
      <c r="A367" s="264" t="str">
        <f t="shared" si="7"/>
        <v xml:space="preserve">P330326 </v>
      </c>
      <c r="B367" s="265" t="s">
        <v>1434</v>
      </c>
      <c r="C367" s="266">
        <v>11300</v>
      </c>
      <c r="D367" s="266"/>
      <c r="E367" s="266">
        <f>XledgerData[[#This Row],[Column1]]+XledgerData[[#This Row],[Year to date]]</f>
        <v>11300</v>
      </c>
      <c r="F367" s="131"/>
    </row>
    <row r="368" spans="1:6" x14ac:dyDescent="0.3">
      <c r="A368" s="158" t="str">
        <f t="shared" si="7"/>
        <v xml:space="preserve">P330331 </v>
      </c>
      <c r="B368" s="205" t="s">
        <v>1435</v>
      </c>
      <c r="C368" s="174">
        <v>4000</v>
      </c>
      <c r="D368" s="128"/>
      <c r="E368" s="145">
        <f>XledgerData[[#This Row],[Column1]]+XledgerData[[#This Row],[Year to date]]</f>
        <v>4000</v>
      </c>
      <c r="F368" s="131"/>
    </row>
    <row r="369" spans="1:6" x14ac:dyDescent="0.3">
      <c r="A369" s="166" t="str">
        <f t="shared" si="7"/>
        <v xml:space="preserve">P330333 </v>
      </c>
      <c r="B369" s="217" t="s">
        <v>764</v>
      </c>
      <c r="C369" s="268">
        <v>6192</v>
      </c>
      <c r="D369" s="268"/>
      <c r="E369" s="268">
        <f>XledgerData[[#This Row],[Column1]]+XledgerData[[#This Row],[Year to date]]</f>
        <v>6192</v>
      </c>
      <c r="F369" s="131"/>
    </row>
    <row r="370" spans="1:6" x14ac:dyDescent="0.3">
      <c r="A370" s="143" t="str">
        <f t="shared" si="7"/>
        <v xml:space="preserve">P330343 </v>
      </c>
      <c r="B370" s="199" t="s">
        <v>1553</v>
      </c>
      <c r="C370" s="178">
        <v>1500</v>
      </c>
      <c r="D370" s="128"/>
      <c r="E370" s="145">
        <f>XledgerData[[#This Row],[Column1]]+XledgerData[[#This Row],[Year to date]]</f>
        <v>1500</v>
      </c>
      <c r="F370" s="131"/>
    </row>
    <row r="371" spans="1:6" x14ac:dyDescent="0.3">
      <c r="A371" s="143" t="str">
        <f t="shared" si="7"/>
        <v xml:space="preserve">P330344 </v>
      </c>
      <c r="B371" s="199" t="s">
        <v>1590</v>
      </c>
      <c r="C371" s="178">
        <v>3600</v>
      </c>
      <c r="D371" s="128"/>
      <c r="E371" s="145">
        <f>XledgerData[[#This Row],[Column1]]+XledgerData[[#This Row],[Year to date]]</f>
        <v>3600</v>
      </c>
      <c r="F371" s="131"/>
    </row>
    <row r="372" spans="1:6" x14ac:dyDescent="0.3">
      <c r="A372" s="111" t="str">
        <f t="shared" si="7"/>
        <v xml:space="preserve">P330345 </v>
      </c>
      <c r="B372" s="199" t="s">
        <v>767</v>
      </c>
      <c r="C372" s="178">
        <v>750</v>
      </c>
      <c r="D372" s="128"/>
      <c r="E372" s="145">
        <f>XledgerData[[#This Row],[Column1]]+XledgerData[[#This Row],[Year to date]]</f>
        <v>750</v>
      </c>
      <c r="F372" s="131"/>
    </row>
    <row r="373" spans="1:6" x14ac:dyDescent="0.3">
      <c r="A373" s="143" t="str">
        <f t="shared" si="7"/>
        <v xml:space="preserve">P330346 </v>
      </c>
      <c r="B373" s="199" t="s">
        <v>1438</v>
      </c>
      <c r="C373" s="178">
        <v>2000</v>
      </c>
      <c r="D373" s="128"/>
      <c r="E373" s="145">
        <f>XledgerData[[#This Row],[Column1]]+XledgerData[[#This Row],[Year to date]]</f>
        <v>2000</v>
      </c>
      <c r="F373" s="131"/>
    </row>
    <row r="374" spans="1:6" x14ac:dyDescent="0.3">
      <c r="A374" s="232" t="str">
        <f t="shared" si="7"/>
        <v xml:space="preserve">P330347 </v>
      </c>
      <c r="B374" s="233" t="s">
        <v>768</v>
      </c>
      <c r="C374" s="234">
        <v>3013</v>
      </c>
      <c r="D374" s="234"/>
      <c r="E374" s="234">
        <f>XledgerData[[#This Row],[Column1]]+XledgerData[[#This Row],[Year to date]]</f>
        <v>3013</v>
      </c>
      <c r="F374" s="131"/>
    </row>
    <row r="375" spans="1:6" x14ac:dyDescent="0.3">
      <c r="A375" s="143" t="str">
        <f t="shared" si="7"/>
        <v xml:space="preserve">P330348 </v>
      </c>
      <c r="B375" s="199" t="s">
        <v>1561</v>
      </c>
      <c r="C375" s="178">
        <v>1000</v>
      </c>
      <c r="D375" s="128"/>
      <c r="E375" s="145">
        <f>XledgerData[[#This Row],[Column1]]+XledgerData[[#This Row],[Year to date]]</f>
        <v>1000</v>
      </c>
      <c r="F375" s="131"/>
    </row>
    <row r="376" spans="1:6" x14ac:dyDescent="0.3">
      <c r="A376" s="232" t="str">
        <f t="shared" si="7"/>
        <v xml:space="preserve">P330349 </v>
      </c>
      <c r="B376" s="233" t="s">
        <v>1522</v>
      </c>
      <c r="C376" s="234">
        <v>4445</v>
      </c>
      <c r="D376" s="234"/>
      <c r="E376" s="234">
        <f>XledgerData[[#This Row],[Column1]]+XledgerData[[#This Row],[Year to date]]</f>
        <v>4445</v>
      </c>
      <c r="F376" s="131"/>
    </row>
    <row r="377" spans="1:6" x14ac:dyDescent="0.3">
      <c r="A377" s="232" t="str">
        <f t="shared" ref="A377:A409" si="8">LEFT(B377,FIND(" ",B377,1))</f>
        <v xml:space="preserve">P330357 </v>
      </c>
      <c r="B377" s="233" t="s">
        <v>1523</v>
      </c>
      <c r="C377" s="234">
        <v>2341</v>
      </c>
      <c r="D377" s="234"/>
      <c r="E377" s="234">
        <f>XledgerData[[#This Row],[Column1]]+XledgerData[[#This Row],[Year to date]]</f>
        <v>2341</v>
      </c>
      <c r="F377" s="131"/>
    </row>
    <row r="378" spans="1:6" x14ac:dyDescent="0.3">
      <c r="A378" s="143" t="str">
        <f t="shared" si="8"/>
        <v xml:space="preserve">P330358 </v>
      </c>
      <c r="B378" s="199" t="s">
        <v>1524</v>
      </c>
      <c r="C378" s="178">
        <v>1300</v>
      </c>
      <c r="D378" s="128"/>
      <c r="E378" s="145">
        <f>XledgerData[[#This Row],[Column1]]+XledgerData[[#This Row],[Year to date]]</f>
        <v>1300</v>
      </c>
      <c r="F378" s="131"/>
    </row>
    <row r="379" spans="1:6" x14ac:dyDescent="0.3">
      <c r="A379" s="232" t="str">
        <f t="shared" si="8"/>
        <v xml:space="preserve">P330359 </v>
      </c>
      <c r="B379" s="233" t="s">
        <v>1564</v>
      </c>
      <c r="C379" s="234">
        <v>1795</v>
      </c>
      <c r="D379" s="234"/>
      <c r="E379" s="234">
        <f>XledgerData[[#This Row],[Column1]]+XledgerData[[#This Row],[Year to date]]</f>
        <v>1795</v>
      </c>
      <c r="F379" s="131"/>
    </row>
    <row r="380" spans="1:6" x14ac:dyDescent="0.3">
      <c r="A380" s="232" t="str">
        <f t="shared" si="8"/>
        <v xml:space="preserve">P330360 </v>
      </c>
      <c r="B380" s="233" t="s">
        <v>1525</v>
      </c>
      <c r="C380" s="234">
        <v>5080</v>
      </c>
      <c r="D380" s="234"/>
      <c r="E380" s="234">
        <f>XledgerData[[#This Row],[Column1]]+XledgerData[[#This Row],[Year to date]]</f>
        <v>5080</v>
      </c>
      <c r="F380" s="131"/>
    </row>
    <row r="381" spans="1:6" s="28" customFormat="1" x14ac:dyDescent="0.3">
      <c r="A381" s="232" t="str">
        <f>LEFT(B381,FIND(" ",B381,1))</f>
        <v xml:space="preserve">P330363 </v>
      </c>
      <c r="B381" s="356" t="s">
        <v>1611</v>
      </c>
      <c r="C381" s="234">
        <v>0</v>
      </c>
      <c r="D381" s="234">
        <f>2000+928</f>
        <v>2928</v>
      </c>
      <c r="E381" s="357">
        <f>XledgerData[[#This Row],[Column1]]+XledgerData[[#This Row],[Year to date]]</f>
        <v>2928</v>
      </c>
      <c r="F381" s="131"/>
    </row>
    <row r="382" spans="1:6" x14ac:dyDescent="0.3">
      <c r="A382" s="232" t="str">
        <f t="shared" si="8"/>
        <v xml:space="preserve">P330364 </v>
      </c>
      <c r="B382" s="233" t="s">
        <v>1554</v>
      </c>
      <c r="C382" s="234">
        <v>12000</v>
      </c>
      <c r="D382" s="234"/>
      <c r="E382" s="234">
        <f>XledgerData[[#This Row],[Column1]]+XledgerData[[#This Row],[Year to date]]</f>
        <v>12000</v>
      </c>
      <c r="F382" s="131"/>
    </row>
    <row r="383" spans="1:6" x14ac:dyDescent="0.3">
      <c r="A383" s="143" t="str">
        <f t="shared" si="8"/>
        <v xml:space="preserve">P330366 </v>
      </c>
      <c r="B383" s="199" t="s">
        <v>771</v>
      </c>
      <c r="C383" s="178">
        <v>1800</v>
      </c>
      <c r="D383" s="128"/>
      <c r="E383" s="145">
        <f>XledgerData[[#This Row],[Column1]]+XledgerData[[#This Row],[Year to date]]</f>
        <v>1800</v>
      </c>
      <c r="F383" s="131"/>
    </row>
    <row r="384" spans="1:6" x14ac:dyDescent="0.3">
      <c r="A384" s="232" t="str">
        <f t="shared" si="8"/>
        <v xml:space="preserve">P330367 </v>
      </c>
      <c r="B384" s="233" t="s">
        <v>1526</v>
      </c>
      <c r="C384" s="234">
        <v>6552</v>
      </c>
      <c r="D384" s="234"/>
      <c r="E384" s="234">
        <f>XledgerData[[#This Row],[Column1]]+XledgerData[[#This Row],[Year to date]]</f>
        <v>6552</v>
      </c>
      <c r="F384" s="131"/>
    </row>
    <row r="385" spans="1:6" x14ac:dyDescent="0.3">
      <c r="A385" s="111" t="str">
        <f t="shared" si="8"/>
        <v xml:space="preserve">P330368 </v>
      </c>
      <c r="B385" s="199" t="s">
        <v>1565</v>
      </c>
      <c r="C385" s="178">
        <v>3000</v>
      </c>
      <c r="D385" s="128"/>
      <c r="E385" s="145">
        <f>XledgerData[[#This Row],[Column1]]+XledgerData[[#This Row],[Year to date]]</f>
        <v>3000</v>
      </c>
      <c r="F385" s="131"/>
    </row>
    <row r="386" spans="1:6" x14ac:dyDescent="0.3">
      <c r="A386" s="232" t="str">
        <f t="shared" si="8"/>
        <v xml:space="preserve">P330371 </v>
      </c>
      <c r="B386" s="233" t="s">
        <v>1483</v>
      </c>
      <c r="C386" s="234">
        <v>2424</v>
      </c>
      <c r="D386" s="234"/>
      <c r="E386" s="234">
        <f>XledgerData[[#This Row],[Column1]]+XledgerData[[#This Row],[Year to date]]</f>
        <v>2424</v>
      </c>
      <c r="F386" s="144"/>
    </row>
    <row r="387" spans="1:6" x14ac:dyDescent="0.3">
      <c r="A387" s="232" t="str">
        <f t="shared" si="8"/>
        <v xml:space="preserve">P330374 </v>
      </c>
      <c r="B387" s="233" t="s">
        <v>641</v>
      </c>
      <c r="C387" s="234">
        <v>16452</v>
      </c>
      <c r="D387" s="234"/>
      <c r="E387" s="234">
        <f>XledgerData[[#This Row],[Column1]]+XledgerData[[#This Row],[Year to date]]</f>
        <v>16452</v>
      </c>
      <c r="F387" s="144"/>
    </row>
    <row r="388" spans="1:6" x14ac:dyDescent="0.3">
      <c r="A388" s="232" t="str">
        <f t="shared" si="8"/>
        <v xml:space="preserve">P330377 </v>
      </c>
      <c r="B388" s="233" t="s">
        <v>1439</v>
      </c>
      <c r="C388" s="234">
        <v>30291</v>
      </c>
      <c r="D388" s="234"/>
      <c r="E388" s="234">
        <f>XledgerData[[#This Row],[Column1]]+XledgerData[[#This Row],[Year to date]]</f>
        <v>30291</v>
      </c>
      <c r="F388" s="144"/>
    </row>
    <row r="389" spans="1:6" x14ac:dyDescent="0.3">
      <c r="A389" s="232" t="str">
        <f t="shared" si="8"/>
        <v xml:space="preserve">P330378 </v>
      </c>
      <c r="B389" s="233" t="s">
        <v>773</v>
      </c>
      <c r="C389" s="234">
        <v>261</v>
      </c>
      <c r="D389" s="234"/>
      <c r="E389" s="234">
        <f>XledgerData[[#This Row],[Column1]]+XledgerData[[#This Row],[Year to date]]</f>
        <v>261</v>
      </c>
      <c r="F389" s="144"/>
    </row>
    <row r="390" spans="1:6" x14ac:dyDescent="0.3">
      <c r="A390" s="232" t="str">
        <f t="shared" si="8"/>
        <v xml:space="preserve">P330379 </v>
      </c>
      <c r="B390" s="233" t="s">
        <v>1440</v>
      </c>
      <c r="C390" s="234">
        <v>2600</v>
      </c>
      <c r="D390" s="234"/>
      <c r="E390" s="234">
        <f>XledgerData[[#This Row],[Column1]]+XledgerData[[#This Row],[Year to date]]</f>
        <v>2600</v>
      </c>
      <c r="F390" s="144"/>
    </row>
    <row r="391" spans="1:6" x14ac:dyDescent="0.3">
      <c r="A391" s="232" t="str">
        <f t="shared" si="8"/>
        <v xml:space="preserve">P330380 </v>
      </c>
      <c r="B391" s="233" t="s">
        <v>774</v>
      </c>
      <c r="C391" s="234">
        <v>58907</v>
      </c>
      <c r="D391" s="234"/>
      <c r="E391" s="234">
        <f>XledgerData[[#This Row],[Column1]]+XledgerData[[#This Row],[Year to date]]</f>
        <v>58907</v>
      </c>
      <c r="F391" s="144"/>
    </row>
    <row r="392" spans="1:6" x14ac:dyDescent="0.3">
      <c r="A392" s="232" t="str">
        <f t="shared" si="8"/>
        <v xml:space="preserve">P330381 </v>
      </c>
      <c r="B392" s="233" t="s">
        <v>775</v>
      </c>
      <c r="C392" s="234">
        <v>5764</v>
      </c>
      <c r="D392" s="234">
        <v>524</v>
      </c>
      <c r="E392" s="234">
        <f>XledgerData[[#This Row],[Column1]]+XledgerData[[#This Row],[Year to date]]</f>
        <v>6288</v>
      </c>
      <c r="F392" s="144"/>
    </row>
    <row r="393" spans="1:6" x14ac:dyDescent="0.3">
      <c r="A393" s="143" t="str">
        <f t="shared" si="8"/>
        <v xml:space="preserve">P330382 </v>
      </c>
      <c r="B393" s="199" t="s">
        <v>1556</v>
      </c>
      <c r="C393" s="178">
        <v>1000</v>
      </c>
      <c r="D393" s="178">
        <v>1310</v>
      </c>
      <c r="E393" s="178">
        <f>XledgerData[[#This Row],[Column1]]+XledgerData[[#This Row],[Year to date]]</f>
        <v>2310</v>
      </c>
      <c r="F393" s="144"/>
    </row>
    <row r="394" spans="1:6" x14ac:dyDescent="0.3">
      <c r="A394" s="232" t="str">
        <f t="shared" si="8"/>
        <v xml:space="preserve">P330384 </v>
      </c>
      <c r="B394" s="233" t="s">
        <v>777</v>
      </c>
      <c r="C394" s="234">
        <v>5000</v>
      </c>
      <c r="D394" s="234"/>
      <c r="E394" s="234">
        <f>XledgerData[[#This Row],[Column1]]+XledgerData[[#This Row],[Year to date]]</f>
        <v>5000</v>
      </c>
      <c r="F394" s="144"/>
    </row>
    <row r="395" spans="1:6" x14ac:dyDescent="0.3">
      <c r="A395" s="232" t="str">
        <f t="shared" si="8"/>
        <v xml:space="preserve">P330387 </v>
      </c>
      <c r="B395" s="233" t="s">
        <v>1441</v>
      </c>
      <c r="C395" s="234">
        <v>7468</v>
      </c>
      <c r="D395" s="234"/>
      <c r="E395" s="234">
        <f>XledgerData[[#This Row],[Column1]]+XledgerData[[#This Row],[Year to date]]</f>
        <v>7468</v>
      </c>
      <c r="F395" s="144"/>
    </row>
    <row r="396" spans="1:6" x14ac:dyDescent="0.3">
      <c r="A396" s="143" t="str">
        <f t="shared" si="8"/>
        <v xml:space="preserve">P330389 </v>
      </c>
      <c r="B396" s="199" t="s">
        <v>1566</v>
      </c>
      <c r="C396" s="178">
        <v>5819</v>
      </c>
      <c r="D396" s="178">
        <v>1000</v>
      </c>
      <c r="E396" s="178">
        <f>XledgerData[[#This Row],[Column1]]+XledgerData[[#This Row],[Year to date]]</f>
        <v>6819</v>
      </c>
      <c r="F396" s="144"/>
    </row>
    <row r="397" spans="1:6" x14ac:dyDescent="0.3">
      <c r="A397" s="232" t="str">
        <f t="shared" si="8"/>
        <v xml:space="preserve">P330391 </v>
      </c>
      <c r="B397" s="233" t="s">
        <v>1582</v>
      </c>
      <c r="C397" s="234">
        <v>1711</v>
      </c>
      <c r="D397" s="234"/>
      <c r="E397" s="234">
        <f>XledgerData[[#This Row],[Column1]]+XledgerData[[#This Row],[Year to date]]</f>
        <v>1711</v>
      </c>
      <c r="F397" s="144"/>
    </row>
    <row r="398" spans="1:6" x14ac:dyDescent="0.3">
      <c r="A398" s="247" t="str">
        <f t="shared" si="8"/>
        <v xml:space="preserve">P330393 </v>
      </c>
      <c r="B398" s="248" t="s">
        <v>1527</v>
      </c>
      <c r="C398" s="249">
        <v>11501</v>
      </c>
      <c r="D398" s="249"/>
      <c r="E398" s="249">
        <f>XledgerData[[#This Row],[Column1]]+XledgerData[[#This Row],[Year to date]]</f>
        <v>11501</v>
      </c>
      <c r="F398" s="144"/>
    </row>
    <row r="399" spans="1:6" x14ac:dyDescent="0.3">
      <c r="A399" s="247" t="str">
        <f t="shared" si="8"/>
        <v xml:space="preserve">P330395 </v>
      </c>
      <c r="B399" s="248" t="s">
        <v>781</v>
      </c>
      <c r="C399" s="249">
        <v>6901</v>
      </c>
      <c r="D399" s="249"/>
      <c r="E399" s="249">
        <f>XledgerData[[#This Row],[Column1]]+XledgerData[[#This Row],[Year to date]]</f>
        <v>6901</v>
      </c>
      <c r="F399" s="144"/>
    </row>
    <row r="400" spans="1:6" x14ac:dyDescent="0.3">
      <c r="A400" s="247" t="str">
        <f t="shared" si="8"/>
        <v xml:space="preserve">P330401 </v>
      </c>
      <c r="B400" s="360" t="s">
        <v>787</v>
      </c>
      <c r="C400" s="249">
        <v>45919</v>
      </c>
      <c r="D400" s="249">
        <f>5000+10000</f>
        <v>15000</v>
      </c>
      <c r="E400" s="249">
        <f>XledgerData[[#This Row],[Column1]]+XledgerData[[#This Row],[Year to date]]</f>
        <v>60919</v>
      </c>
      <c r="F400" s="144"/>
    </row>
    <row r="401" spans="1:6" x14ac:dyDescent="0.3">
      <c r="A401" s="242" t="str">
        <f t="shared" si="8"/>
        <v xml:space="preserve">P330403 </v>
      </c>
      <c r="B401" s="243" t="s">
        <v>1485</v>
      </c>
      <c r="C401" s="244">
        <v>2359</v>
      </c>
      <c r="D401" s="244"/>
      <c r="E401" s="244">
        <f>XledgerData[[#This Row],[Column1]]+XledgerData[[#This Row],[Year to date]]</f>
        <v>2359</v>
      </c>
      <c r="F401" s="144"/>
    </row>
    <row r="402" spans="1:6" x14ac:dyDescent="0.3">
      <c r="A402" s="164" t="str">
        <f t="shared" si="8"/>
        <v xml:space="preserve">P330405 </v>
      </c>
      <c r="B402" s="201" t="s">
        <v>1486</v>
      </c>
      <c r="C402" s="179">
        <v>2000</v>
      </c>
      <c r="D402" s="179">
        <v>2500</v>
      </c>
      <c r="E402" s="179">
        <f>XledgerData[[#This Row],[Column1]]+XledgerData[[#This Row],[Year to date]]</f>
        <v>4500</v>
      </c>
      <c r="F402" s="144"/>
    </row>
    <row r="403" spans="1:6" s="28" customFormat="1" x14ac:dyDescent="0.3">
      <c r="A403" s="286" t="str">
        <f t="shared" si="8"/>
        <v xml:space="preserve">P330406 </v>
      </c>
      <c r="B403" s="248" t="s">
        <v>788</v>
      </c>
      <c r="C403" s="249">
        <v>10756</v>
      </c>
      <c r="D403" s="361"/>
      <c r="E403" s="362">
        <f>XledgerData[[#This Row],[Column1]]+XledgerData[[#This Row],[Year to date]]</f>
        <v>10756</v>
      </c>
      <c r="F403" s="144"/>
    </row>
    <row r="404" spans="1:6" x14ac:dyDescent="0.3">
      <c r="A404" s="247" t="str">
        <f t="shared" si="8"/>
        <v xml:space="preserve">P330410 </v>
      </c>
      <c r="B404" s="248" t="s">
        <v>791</v>
      </c>
      <c r="C404" s="249">
        <v>12651</v>
      </c>
      <c r="D404" s="249"/>
      <c r="E404" s="249">
        <f>XledgerData[[#This Row],[Column1]]+XledgerData[[#This Row],[Year to date]]</f>
        <v>12651</v>
      </c>
      <c r="F404" s="144"/>
    </row>
    <row r="405" spans="1:6" x14ac:dyDescent="0.3">
      <c r="A405" s="242" t="str">
        <f t="shared" si="8"/>
        <v xml:space="preserve">P330412 </v>
      </c>
      <c r="B405" s="243" t="s">
        <v>1487</v>
      </c>
      <c r="C405" s="244">
        <v>1260</v>
      </c>
      <c r="D405" s="244"/>
      <c r="E405" s="244">
        <f>XledgerData[[#This Row],[Column1]]+XledgerData[[#This Row],[Year to date]]</f>
        <v>1260</v>
      </c>
      <c r="F405" s="144"/>
    </row>
    <row r="406" spans="1:6" x14ac:dyDescent="0.3">
      <c r="A406" s="242" t="str">
        <f t="shared" si="8"/>
        <v xml:space="preserve">P330415 </v>
      </c>
      <c r="B406" s="243" t="s">
        <v>1558</v>
      </c>
      <c r="C406" s="244">
        <v>4894</v>
      </c>
      <c r="D406" s="244"/>
      <c r="E406" s="244">
        <f>XledgerData[[#This Row],[Column1]]+XledgerData[[#This Row],[Year to date]]</f>
        <v>4894</v>
      </c>
      <c r="F406" s="144"/>
    </row>
    <row r="407" spans="1:6" x14ac:dyDescent="0.3">
      <c r="A407" s="160" t="str">
        <f t="shared" si="8"/>
        <v xml:space="preserve">P330417 </v>
      </c>
      <c r="B407" s="204" t="s">
        <v>1529</v>
      </c>
      <c r="C407" s="180">
        <v>7750</v>
      </c>
      <c r="D407" s="244"/>
      <c r="E407" s="359">
        <f>XledgerData[[#This Row],[Column1]]+XledgerData[[#This Row],[Year to date]]</f>
        <v>7750</v>
      </c>
      <c r="F407" s="144"/>
    </row>
    <row r="408" spans="1:6" s="28" customFormat="1" x14ac:dyDescent="0.3">
      <c r="A408" s="242" t="str">
        <f t="shared" si="8"/>
        <v xml:space="preserve">P330420 </v>
      </c>
      <c r="B408" s="243" t="s">
        <v>795</v>
      </c>
      <c r="C408" s="244">
        <v>10142</v>
      </c>
      <c r="D408" s="244"/>
      <c r="E408" s="244">
        <f>XledgerData[[#This Row],[Column1]]+XledgerData[[#This Row],[Year to date]]</f>
        <v>10142</v>
      </c>
      <c r="F408" s="144"/>
    </row>
    <row r="409" spans="1:6" x14ac:dyDescent="0.3">
      <c r="A409" s="242" t="str">
        <f t="shared" si="8"/>
        <v xml:space="preserve">P330422 </v>
      </c>
      <c r="B409" s="243" t="s">
        <v>1490</v>
      </c>
      <c r="C409" s="244">
        <v>3290</v>
      </c>
      <c r="D409" s="244"/>
      <c r="E409" s="244">
        <f>XledgerData[[#This Row],[Column1]]+XledgerData[[#This Row],[Year to date]]</f>
        <v>3290</v>
      </c>
      <c r="F409" s="144"/>
    </row>
    <row r="410" spans="1:6" x14ac:dyDescent="0.3">
      <c r="A410" s="242" t="str">
        <f t="shared" ref="A410:A441" si="9">LEFT(B410,FIND(" ",B410,1))</f>
        <v xml:space="preserve">P330425 </v>
      </c>
      <c r="B410" s="243" t="s">
        <v>797</v>
      </c>
      <c r="C410" s="244">
        <v>2430</v>
      </c>
      <c r="D410" s="244"/>
      <c r="E410" s="244">
        <f>XledgerData[[#This Row],[Column1]]+XledgerData[[#This Row],[Year to date]]</f>
        <v>2430</v>
      </c>
      <c r="F410" s="144"/>
    </row>
    <row r="411" spans="1:6" x14ac:dyDescent="0.3">
      <c r="A411" s="293" t="str">
        <f t="shared" si="9"/>
        <v xml:space="preserve">P330426 </v>
      </c>
      <c r="B411" s="243" t="s">
        <v>1492</v>
      </c>
      <c r="C411" s="244">
        <v>3385</v>
      </c>
      <c r="D411" s="244"/>
      <c r="E411" s="244">
        <f>XledgerData[[#This Row],[Column1]]+XledgerData[[#This Row],[Year to date]]</f>
        <v>3385</v>
      </c>
      <c r="F411" s="144"/>
    </row>
    <row r="412" spans="1:6" x14ac:dyDescent="0.3">
      <c r="A412" s="293" t="str">
        <f t="shared" si="9"/>
        <v xml:space="preserve">P330428 </v>
      </c>
      <c r="B412" s="243" t="s">
        <v>799</v>
      </c>
      <c r="C412" s="244">
        <v>8177</v>
      </c>
      <c r="D412" s="244"/>
      <c r="E412" s="244">
        <f>XledgerData[[#This Row],[Column1]]+XledgerData[[#This Row],[Year to date]]</f>
        <v>8177</v>
      </c>
      <c r="F412" s="144"/>
    </row>
    <row r="413" spans="1:6" x14ac:dyDescent="0.3">
      <c r="A413" s="295" t="str">
        <f t="shared" si="9"/>
        <v xml:space="preserve">P330430 </v>
      </c>
      <c r="B413" s="204" t="s">
        <v>1493</v>
      </c>
      <c r="C413" s="180">
        <v>6200</v>
      </c>
      <c r="D413" s="180">
        <v>3234</v>
      </c>
      <c r="E413" s="180">
        <f>XledgerData[[#This Row],[Column1]]+XledgerData[[#This Row],[Year to date]]</f>
        <v>9434</v>
      </c>
      <c r="F413" s="144"/>
    </row>
    <row r="414" spans="1:6" x14ac:dyDescent="0.3">
      <c r="A414" s="275" t="str">
        <f t="shared" si="9"/>
        <v xml:space="preserve">P330432 </v>
      </c>
      <c r="B414" s="240" t="s">
        <v>1494</v>
      </c>
      <c r="C414" s="241">
        <v>2975</v>
      </c>
      <c r="D414" s="241"/>
      <c r="E414" s="241">
        <f>XledgerData[[#This Row],[Column1]]+XledgerData[[#This Row],[Year to date]]</f>
        <v>2975</v>
      </c>
      <c r="F414" s="144"/>
    </row>
    <row r="415" spans="1:6" x14ac:dyDescent="0.3">
      <c r="A415" s="275" t="str">
        <f t="shared" si="9"/>
        <v xml:space="preserve">P330434 </v>
      </c>
      <c r="B415" s="240" t="s">
        <v>802</v>
      </c>
      <c r="C415" s="241">
        <v>2069</v>
      </c>
      <c r="D415" s="241"/>
      <c r="E415" s="241">
        <f>XledgerData[[#This Row],[Column1]]+XledgerData[[#This Row],[Year to date]]</f>
        <v>2069</v>
      </c>
      <c r="F415" s="144"/>
    </row>
    <row r="416" spans="1:6" x14ac:dyDescent="0.3">
      <c r="A416" s="349" t="str">
        <f t="shared" si="9"/>
        <v xml:space="preserve">P330435 </v>
      </c>
      <c r="B416" s="350" t="s">
        <v>1495</v>
      </c>
      <c r="C416" s="351">
        <v>12000</v>
      </c>
      <c r="D416" s="352">
        <v>2000</v>
      </c>
      <c r="E416" s="353">
        <f>XledgerData[[#This Row],[Column1]]+XledgerData[[#This Row],[Year to date]]</f>
        <v>14000</v>
      </c>
      <c r="F416" s="144"/>
    </row>
    <row r="417" spans="1:6" x14ac:dyDescent="0.3">
      <c r="A417" s="239" t="str">
        <f t="shared" si="9"/>
        <v xml:space="preserve">P330436 </v>
      </c>
      <c r="B417" s="240" t="s">
        <v>803</v>
      </c>
      <c r="C417" s="241">
        <v>4900</v>
      </c>
      <c r="D417" s="241"/>
      <c r="E417" s="241">
        <f>XledgerData[[#This Row],[Column1]]+XledgerData[[#This Row],[Year to date]]</f>
        <v>4900</v>
      </c>
      <c r="F417" s="144"/>
    </row>
    <row r="418" spans="1:6" x14ac:dyDescent="0.3">
      <c r="A418" s="239" t="str">
        <f t="shared" si="9"/>
        <v xml:space="preserve">P330438 </v>
      </c>
      <c r="B418" s="240" t="s">
        <v>1445</v>
      </c>
      <c r="C418" s="241">
        <v>1910</v>
      </c>
      <c r="D418" s="241"/>
      <c r="E418" s="241">
        <f>XledgerData[[#This Row],[Column1]]+XledgerData[[#This Row],[Year to date]]</f>
        <v>1910</v>
      </c>
      <c r="F418" s="144"/>
    </row>
    <row r="419" spans="1:6" x14ac:dyDescent="0.3">
      <c r="A419" s="275" t="str">
        <f t="shared" si="9"/>
        <v xml:space="preserve">P330440 </v>
      </c>
      <c r="B419" s="240" t="s">
        <v>1497</v>
      </c>
      <c r="C419" s="241">
        <v>3900</v>
      </c>
      <c r="D419" s="352">
        <v>2685</v>
      </c>
      <c r="E419" s="348">
        <f>XledgerData[[#This Row],[Column1]]+XledgerData[[#This Row],[Year to date]]</f>
        <v>6585</v>
      </c>
      <c r="F419" s="144"/>
    </row>
    <row r="420" spans="1:6" x14ac:dyDescent="0.3">
      <c r="A420" s="275" t="str">
        <f t="shared" si="9"/>
        <v xml:space="preserve">P330442 </v>
      </c>
      <c r="B420" s="240" t="s">
        <v>805</v>
      </c>
      <c r="C420" s="241">
        <v>3821</v>
      </c>
      <c r="D420" s="241"/>
      <c r="E420" s="241">
        <f>XledgerData[[#This Row],[Column1]]+XledgerData[[#This Row],[Year to date]]</f>
        <v>3821</v>
      </c>
      <c r="F420" s="144"/>
    </row>
    <row r="421" spans="1:6" x14ac:dyDescent="0.3">
      <c r="A421" s="239" t="str">
        <f t="shared" si="9"/>
        <v xml:space="preserve">P330445 </v>
      </c>
      <c r="B421" s="240" t="s">
        <v>808</v>
      </c>
      <c r="C421" s="241">
        <v>62716</v>
      </c>
      <c r="D421" s="241"/>
      <c r="E421" s="241">
        <f>XledgerData[[#This Row],[Column1]]+XledgerData[[#This Row],[Year to date]]</f>
        <v>62716</v>
      </c>
      <c r="F421" s="144"/>
    </row>
    <row r="422" spans="1:6" x14ac:dyDescent="0.3">
      <c r="A422" s="156" t="str">
        <f t="shared" si="9"/>
        <v xml:space="preserve">P330446 </v>
      </c>
      <c r="B422" s="208" t="s">
        <v>1498</v>
      </c>
      <c r="C422" s="181">
        <v>3000</v>
      </c>
      <c r="D422" s="128"/>
      <c r="E422" s="145">
        <f>XledgerData[[#This Row],[Column1]]+XledgerData[[#This Row],[Year to date]]</f>
        <v>3000</v>
      </c>
      <c r="F422" s="144"/>
    </row>
    <row r="423" spans="1:6" x14ac:dyDescent="0.3">
      <c r="A423" s="239" t="str">
        <f t="shared" si="9"/>
        <v xml:space="preserve">P330447 </v>
      </c>
      <c r="B423" s="240" t="s">
        <v>1447</v>
      </c>
      <c r="C423" s="241">
        <v>6300</v>
      </c>
      <c r="D423" s="241"/>
      <c r="E423" s="241">
        <f>XledgerData[[#This Row],[Column1]]+XledgerData[[#This Row],[Year to date]]</f>
        <v>6300</v>
      </c>
      <c r="F423" s="144"/>
    </row>
    <row r="424" spans="1:6" s="28" customFormat="1" x14ac:dyDescent="0.3">
      <c r="A424" s="156" t="str">
        <f t="shared" si="9"/>
        <v xml:space="preserve">P330449 </v>
      </c>
      <c r="B424" s="208" t="s">
        <v>1499</v>
      </c>
      <c r="C424" s="181">
        <v>6434</v>
      </c>
      <c r="D424" s="128"/>
      <c r="E424" s="145">
        <f>XledgerData[[#This Row],[Column1]]+XledgerData[[#This Row],[Year to date]]</f>
        <v>6434</v>
      </c>
      <c r="F424" s="144"/>
    </row>
    <row r="425" spans="1:6" x14ac:dyDescent="0.3">
      <c r="A425" s="239" t="str">
        <f t="shared" si="9"/>
        <v xml:space="preserve">P330450 </v>
      </c>
      <c r="B425" s="240" t="s">
        <v>810</v>
      </c>
      <c r="C425" s="241">
        <v>5058</v>
      </c>
      <c r="D425" s="241"/>
      <c r="E425" s="241">
        <f>XledgerData[[#This Row],[Column1]]+XledgerData[[#This Row],[Year to date]]</f>
        <v>5058</v>
      </c>
      <c r="F425" s="144"/>
    </row>
    <row r="426" spans="1:6" x14ac:dyDescent="0.3">
      <c r="A426" s="239" t="str">
        <f t="shared" si="9"/>
        <v xml:space="preserve">P330451 </v>
      </c>
      <c r="B426" s="240" t="s">
        <v>1500</v>
      </c>
      <c r="C426" s="241">
        <v>7500</v>
      </c>
      <c r="D426" s="347">
        <v>1600</v>
      </c>
      <c r="E426" s="348">
        <f>XledgerData[[#This Row],[Column1]]+XledgerData[[#This Row],[Year to date]]</f>
        <v>9100</v>
      </c>
      <c r="F426" s="144"/>
    </row>
    <row r="427" spans="1:6" x14ac:dyDescent="0.3">
      <c r="A427" s="239" t="str">
        <f t="shared" si="9"/>
        <v xml:space="preserve">P330454 </v>
      </c>
      <c r="B427" s="240" t="s">
        <v>812</v>
      </c>
      <c r="C427" s="241">
        <v>8719</v>
      </c>
      <c r="D427" s="241"/>
      <c r="E427" s="241">
        <f>XledgerData[[#This Row],[Column1]]+XledgerData[[#This Row],[Year to date]]</f>
        <v>8719</v>
      </c>
      <c r="F427" s="144"/>
    </row>
    <row r="428" spans="1:6" x14ac:dyDescent="0.3">
      <c r="A428" s="239" t="str">
        <f t="shared" si="9"/>
        <v xml:space="preserve">P330456 </v>
      </c>
      <c r="B428" s="240" t="s">
        <v>813</v>
      </c>
      <c r="C428" s="241">
        <v>5058</v>
      </c>
      <c r="D428" s="241"/>
      <c r="E428" s="241">
        <f>XledgerData[[#This Row],[Column1]]+XledgerData[[#This Row],[Year to date]]</f>
        <v>5058</v>
      </c>
      <c r="F428" s="144"/>
    </row>
    <row r="429" spans="1:6" x14ac:dyDescent="0.3">
      <c r="A429" s="161" t="str">
        <f t="shared" si="9"/>
        <v xml:space="preserve">P330462 </v>
      </c>
      <c r="B429" s="216" t="s">
        <v>819</v>
      </c>
      <c r="C429" s="235">
        <v>19868</v>
      </c>
      <c r="D429" s="235"/>
      <c r="E429" s="235">
        <f>XledgerData[[#This Row],[Column1]]+XledgerData[[#This Row],[Year to date]]</f>
        <v>19868</v>
      </c>
      <c r="F429" s="144"/>
    </row>
    <row r="430" spans="1:6" s="28" customFormat="1" x14ac:dyDescent="0.3">
      <c r="A430" s="281" t="str">
        <f t="shared" si="9"/>
        <v xml:space="preserve">P330464 </v>
      </c>
      <c r="B430" s="216" t="s">
        <v>821</v>
      </c>
      <c r="C430" s="235">
        <v>8373</v>
      </c>
      <c r="D430" s="235"/>
      <c r="E430" s="235">
        <f>XledgerData[[#This Row],[Column1]]+XledgerData[[#This Row],[Year to date]]</f>
        <v>8373</v>
      </c>
      <c r="F430" s="144"/>
    </row>
    <row r="431" spans="1:6" x14ac:dyDescent="0.3">
      <c r="A431" s="161" t="str">
        <f t="shared" si="9"/>
        <v xml:space="preserve">P330466 </v>
      </c>
      <c r="B431" s="216" t="s">
        <v>822</v>
      </c>
      <c r="C431" s="235">
        <v>8606</v>
      </c>
      <c r="D431" s="235"/>
      <c r="E431" s="235">
        <f>XledgerData[[#This Row],[Column1]]+XledgerData[[#This Row],[Year to date]]</f>
        <v>8606</v>
      </c>
      <c r="F431" s="144"/>
    </row>
    <row r="432" spans="1:6" x14ac:dyDescent="0.3">
      <c r="A432" s="281" t="str">
        <f t="shared" si="9"/>
        <v xml:space="preserve">P330468 </v>
      </c>
      <c r="B432" s="216" t="s">
        <v>1449</v>
      </c>
      <c r="C432" s="235">
        <v>8750</v>
      </c>
      <c r="D432" s="235"/>
      <c r="E432" s="235">
        <f>XledgerData[[#This Row],[Column1]]+XledgerData[[#This Row],[Year to date]]</f>
        <v>8750</v>
      </c>
      <c r="F432" s="144"/>
    </row>
    <row r="433" spans="1:6" x14ac:dyDescent="0.3">
      <c r="A433" s="281" t="str">
        <f t="shared" si="9"/>
        <v xml:space="preserve">P330469 </v>
      </c>
      <c r="B433" s="216" t="s">
        <v>824</v>
      </c>
      <c r="C433" s="235">
        <v>6788</v>
      </c>
      <c r="D433" s="235">
        <v>200</v>
      </c>
      <c r="E433" s="235">
        <f>XledgerData[[#This Row],[Column1]]+XledgerData[[#This Row],[Year to date]]</f>
        <v>6988</v>
      </c>
      <c r="F433" s="144"/>
    </row>
    <row r="434" spans="1:6" s="28" customFormat="1" x14ac:dyDescent="0.3">
      <c r="A434" s="281" t="str">
        <f t="shared" si="9"/>
        <v xml:space="preserve">P330472 </v>
      </c>
      <c r="B434" s="216" t="s">
        <v>1503</v>
      </c>
      <c r="C434" s="235">
        <v>9075</v>
      </c>
      <c r="D434" s="235"/>
      <c r="E434" s="235">
        <f>XledgerData[[#This Row],[Column1]]+XledgerData[[#This Row],[Year to date]]</f>
        <v>9075</v>
      </c>
      <c r="F434" s="144"/>
    </row>
    <row r="435" spans="1:6" x14ac:dyDescent="0.3">
      <c r="A435" s="161" t="str">
        <f t="shared" si="9"/>
        <v xml:space="preserve">P330474 </v>
      </c>
      <c r="B435" s="216" t="s">
        <v>826</v>
      </c>
      <c r="C435" s="235">
        <v>5205</v>
      </c>
      <c r="D435" s="235"/>
      <c r="E435" s="235">
        <f>XledgerData[[#This Row],[Column1]]+XledgerData[[#This Row],[Year to date]]</f>
        <v>5205</v>
      </c>
    </row>
    <row r="436" spans="1:6" x14ac:dyDescent="0.3">
      <c r="A436" s="161" t="str">
        <f t="shared" si="9"/>
        <v xml:space="preserve">P330478 </v>
      </c>
      <c r="B436" s="216" t="s">
        <v>828</v>
      </c>
      <c r="C436" s="235">
        <v>40733</v>
      </c>
      <c r="D436" s="235">
        <v>3704</v>
      </c>
      <c r="E436" s="235">
        <f>XledgerData[[#This Row],[Column1]]+XledgerData[[#This Row],[Year to date]]</f>
        <v>44437</v>
      </c>
      <c r="F436" s="146"/>
    </row>
    <row r="437" spans="1:6" x14ac:dyDescent="0.3">
      <c r="A437" s="281" t="str">
        <f t="shared" si="9"/>
        <v xml:space="preserve">P330480 </v>
      </c>
      <c r="B437" s="216" t="s">
        <v>1452</v>
      </c>
      <c r="C437" s="235">
        <v>12549</v>
      </c>
      <c r="D437" s="235"/>
      <c r="E437" s="235">
        <f>XledgerData[[#This Row],[Column1]]+XledgerData[[#This Row],[Year to date]]</f>
        <v>12549</v>
      </c>
    </row>
    <row r="438" spans="1:6" x14ac:dyDescent="0.3">
      <c r="A438" s="239" t="str">
        <f t="shared" si="9"/>
        <v xml:space="preserve">P330483 </v>
      </c>
      <c r="B438" s="240" t="s">
        <v>829</v>
      </c>
      <c r="C438" s="241">
        <v>2229</v>
      </c>
      <c r="D438" s="241"/>
      <c r="E438" s="241">
        <f>XledgerData[[#This Row],[Column1]]+XledgerData[[#This Row],[Year to date]]</f>
        <v>2229</v>
      </c>
    </row>
    <row r="439" spans="1:6" x14ac:dyDescent="0.3">
      <c r="A439" s="161" t="str">
        <f t="shared" si="9"/>
        <v xml:space="preserve">P330485 </v>
      </c>
      <c r="B439" s="216" t="s">
        <v>831</v>
      </c>
      <c r="C439" s="235">
        <v>12048</v>
      </c>
      <c r="D439" s="235"/>
      <c r="E439" s="235">
        <f>XledgerData[[#This Row],[Column1]]+XledgerData[[#This Row],[Year to date]]</f>
        <v>12048</v>
      </c>
    </row>
    <row r="440" spans="1:6" x14ac:dyDescent="0.3">
      <c r="A440" s="161" t="str">
        <f t="shared" si="9"/>
        <v xml:space="preserve">P330486 </v>
      </c>
      <c r="B440" s="297" t="s">
        <v>1453</v>
      </c>
      <c r="C440" s="235">
        <v>10416</v>
      </c>
      <c r="D440" s="235"/>
      <c r="E440" s="235">
        <f>XledgerData[[#This Row],[Column1]]+XledgerData[[#This Row],[Year to date]]</f>
        <v>10416</v>
      </c>
    </row>
    <row r="441" spans="1:6" x14ac:dyDescent="0.3">
      <c r="A441" s="143" t="str">
        <f t="shared" si="9"/>
        <v xml:space="preserve">P330490 </v>
      </c>
      <c r="B441" s="296" t="s">
        <v>1588</v>
      </c>
      <c r="C441" s="178">
        <v>4000</v>
      </c>
      <c r="D441" s="178">
        <v>3000</v>
      </c>
      <c r="E441" s="178">
        <f>XledgerData[[#This Row],[Column1]]+XledgerData[[#This Row],[Year to date]]</f>
        <v>7000</v>
      </c>
    </row>
    <row r="443" spans="1:6" x14ac:dyDescent="0.3">
      <c r="C443" s="126">
        <f>SUM(C2:C442)</f>
        <v>6106798.3000000007</v>
      </c>
      <c r="D443" s="142">
        <f>SUM(D2:D442)</f>
        <v>233374.11</v>
      </c>
      <c r="E443" s="26">
        <f>C443+D443</f>
        <v>6340172.4100000011</v>
      </c>
    </row>
    <row r="445" spans="1:6" x14ac:dyDescent="0.3">
      <c r="C445" s="126">
        <f>Summary!E35</f>
        <v>3569654</v>
      </c>
      <c r="D445" s="26"/>
    </row>
    <row r="447" spans="1:6" x14ac:dyDescent="0.3">
      <c r="C447" s="126">
        <f>C443-C445</f>
        <v>2537144.3000000007</v>
      </c>
    </row>
    <row r="463" spans="3:3" x14ac:dyDescent="0.3">
      <c r="C463" s="150"/>
    </row>
  </sheetData>
  <sortState xmlns:xlrd2="http://schemas.microsoft.com/office/spreadsheetml/2017/richdata2" ref="J304:K313">
    <sortCondition ref="J304:J313"/>
  </sortState>
  <pageMargins left="0.31496062992125984" right="0.31496062992125984" top="0.35433070866141736" bottom="0.35433070866141736" header="0.31496062992125984" footer="0.31496062992125984"/>
  <pageSetup paperSize="9" scale="23" fitToHeight="2" orientation="portrait" horizontalDpi="4294967293" verticalDpi="4294967293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P45"/>
  <sheetViews>
    <sheetView topLeftCell="A32" zoomScaleNormal="100" workbookViewId="0">
      <selection activeCell="B49" sqref="B49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43" style="33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19.08203125" style="33" hidden="1" customWidth="1"/>
    <col min="12" max="12" width="9" style="33" hidden="1" customWidth="1"/>
    <col min="13" max="13" width="2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8" width="9" style="33" customWidth="1"/>
    <col min="19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COUNTIF(H8:H58,"&gt;1")</f>
        <v>0</v>
      </c>
    </row>
    <row r="4" spans="2:16" s="32" customFormat="1" ht="23" thickBot="1" x14ac:dyDescent="0.5">
      <c r="B4" s="413"/>
      <c r="C4" s="406" t="s">
        <v>417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COUNTIF(H8:H58,1)</f>
        <v>0</v>
      </c>
    </row>
    <row r="5" spans="2:16" ht="14.5" thickBot="1" x14ac:dyDescent="0.35">
      <c r="B5" s="596"/>
      <c r="C5" s="435"/>
      <c r="D5" s="435"/>
      <c r="E5" s="435"/>
      <c r="F5" s="435"/>
      <c r="G5" s="557"/>
      <c r="J5" s="32"/>
      <c r="K5" s="33" t="s">
        <v>1538</v>
      </c>
      <c r="L5" s="33">
        <v>1</v>
      </c>
    </row>
    <row r="6" spans="2:16" s="32" customFormat="1" ht="14.5" thickBot="1" x14ac:dyDescent="0.35">
      <c r="B6" s="418" t="s">
        <v>592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553</v>
      </c>
      <c r="K6" s="33" t="s">
        <v>1539</v>
      </c>
      <c r="L6" s="33">
        <v>4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554"/>
      <c r="C7" s="523"/>
      <c r="D7" s="523"/>
      <c r="E7" s="523"/>
      <c r="F7" s="523"/>
      <c r="G7" s="557"/>
      <c r="K7" s="33" t="s">
        <v>547</v>
      </c>
      <c r="L7" s="33">
        <v>0</v>
      </c>
    </row>
    <row r="8" spans="2:16" x14ac:dyDescent="0.3">
      <c r="B8" s="367" t="s">
        <v>1218</v>
      </c>
      <c r="C8" s="365" t="s">
        <v>418</v>
      </c>
      <c r="D8" s="368">
        <f>[3]Saxmundham!$I$8</f>
        <v>12900</v>
      </c>
      <c r="E8" s="368">
        <f>[2]Saxmundham!$D8</f>
        <v>8084</v>
      </c>
      <c r="F8" s="368">
        <f>D8-E8</f>
        <v>4816</v>
      </c>
      <c r="G8" s="366">
        <f>ROUND((E8/D8),4)</f>
        <v>0.62670000000000003</v>
      </c>
      <c r="H8" s="462"/>
      <c r="L8" s="33">
        <f>SUM(L3:L7)</f>
        <v>5</v>
      </c>
      <c r="N8" s="33" t="s">
        <v>1369</v>
      </c>
      <c r="O8" s="33" t="s">
        <v>1370</v>
      </c>
      <c r="P8" s="33" t="s">
        <v>1367</v>
      </c>
    </row>
    <row r="9" spans="2:16" x14ac:dyDescent="0.3">
      <c r="B9" s="367" t="s">
        <v>1219</v>
      </c>
      <c r="C9" s="365" t="s">
        <v>419</v>
      </c>
      <c r="D9" s="368">
        <f>[3]Saxmundham!$I$9</f>
        <v>9800</v>
      </c>
      <c r="E9" s="368">
        <f>[2]Saxmundham!$D9</f>
        <v>5000</v>
      </c>
      <c r="F9" s="368">
        <f t="shared" ref="F9:F39" si="0">D9-E9</f>
        <v>4800</v>
      </c>
      <c r="G9" s="366">
        <f t="shared" ref="G9:G39" si="1">ROUND((E9/D9),4)</f>
        <v>0.51019999999999999</v>
      </c>
      <c r="H9" s="462"/>
      <c r="N9" s="33" t="s">
        <v>1365</v>
      </c>
      <c r="O9" s="33" t="s">
        <v>1366</v>
      </c>
      <c r="P9" s="33" t="s">
        <v>1371</v>
      </c>
    </row>
    <row r="10" spans="2:16" x14ac:dyDescent="0.3">
      <c r="B10" s="367" t="s">
        <v>1220</v>
      </c>
      <c r="C10" s="365" t="s">
        <v>420</v>
      </c>
      <c r="D10" s="368">
        <f>[3]Saxmundham!$I$10</f>
        <v>7849</v>
      </c>
      <c r="E10" s="368">
        <f>[2]Saxmundham!$D10</f>
        <v>3924</v>
      </c>
      <c r="F10" s="368">
        <f t="shared" si="0"/>
        <v>3925</v>
      </c>
      <c r="G10" s="366">
        <f t="shared" si="1"/>
        <v>0.49990000000000001</v>
      </c>
      <c r="H10" s="462"/>
      <c r="N10" s="33" t="s">
        <v>1369</v>
      </c>
      <c r="O10" s="33" t="s">
        <v>1370</v>
      </c>
      <c r="P10" s="33" t="s">
        <v>1367</v>
      </c>
    </row>
    <row r="11" spans="2:16" x14ac:dyDescent="0.3">
      <c r="B11" s="367" t="s">
        <v>1221</v>
      </c>
      <c r="C11" s="365" t="s">
        <v>421</v>
      </c>
      <c r="D11" s="368">
        <f>[3]Saxmundham!$I$11</f>
        <v>7909</v>
      </c>
      <c r="E11" s="368">
        <f>[2]Saxmundham!$D11</f>
        <v>4000</v>
      </c>
      <c r="F11" s="368">
        <f t="shared" si="0"/>
        <v>3909</v>
      </c>
      <c r="G11" s="366">
        <f t="shared" si="1"/>
        <v>0.50580000000000003</v>
      </c>
      <c r="H11" s="462"/>
      <c r="N11" s="33" t="s">
        <v>1365</v>
      </c>
      <c r="O11" s="33" t="s">
        <v>1366</v>
      </c>
      <c r="P11" s="33" t="s">
        <v>1371</v>
      </c>
    </row>
    <row r="12" spans="2:16" x14ac:dyDescent="0.3">
      <c r="B12" s="367" t="s">
        <v>1222</v>
      </c>
      <c r="C12" s="365" t="s">
        <v>422</v>
      </c>
      <c r="D12" s="368">
        <f>[3]Saxmundham!$I$12</f>
        <v>5100</v>
      </c>
      <c r="E12" s="368">
        <f>[2]Saxmundham!$D12</f>
        <v>2000</v>
      </c>
      <c r="F12" s="368">
        <f t="shared" si="0"/>
        <v>3100</v>
      </c>
      <c r="G12" s="366">
        <f t="shared" si="1"/>
        <v>0.39219999999999999</v>
      </c>
      <c r="H12" s="462"/>
      <c r="N12" s="33" t="s">
        <v>1365</v>
      </c>
      <c r="O12" s="33" t="s">
        <v>1366</v>
      </c>
      <c r="P12" s="33" t="s">
        <v>1371</v>
      </c>
    </row>
    <row r="13" spans="2:16" x14ac:dyDescent="0.3">
      <c r="B13" s="367" t="s">
        <v>1223</v>
      </c>
      <c r="C13" s="365" t="s">
        <v>423</v>
      </c>
      <c r="D13" s="368">
        <f>[3]Saxmundham!$I$13</f>
        <v>13950</v>
      </c>
      <c r="E13" s="368">
        <f>[2]Saxmundham!$D13</f>
        <v>3488</v>
      </c>
      <c r="F13" s="368">
        <f t="shared" si="0"/>
        <v>10462</v>
      </c>
      <c r="G13" s="366">
        <f t="shared" si="1"/>
        <v>0.25</v>
      </c>
      <c r="H13" s="462"/>
      <c r="N13" s="33" t="s">
        <v>1365</v>
      </c>
      <c r="O13" s="33" t="s">
        <v>1366</v>
      </c>
      <c r="P13" s="33" t="s">
        <v>1371</v>
      </c>
    </row>
    <row r="14" spans="2:16" x14ac:dyDescent="0.3">
      <c r="B14" s="635" t="s">
        <v>1224</v>
      </c>
      <c r="C14" s="636" t="s">
        <v>424</v>
      </c>
      <c r="D14" s="637">
        <f>[3]Saxmundham!$I$14</f>
        <v>5100</v>
      </c>
      <c r="E14" s="637">
        <f>[2]Saxmundham!$D14</f>
        <v>0</v>
      </c>
      <c r="F14" s="637">
        <f t="shared" si="0"/>
        <v>5100</v>
      </c>
      <c r="G14" s="638">
        <f t="shared" si="1"/>
        <v>0</v>
      </c>
      <c r="H14" s="462"/>
      <c r="N14" s="33" t="s">
        <v>1365</v>
      </c>
      <c r="O14" s="33" t="s">
        <v>1366</v>
      </c>
      <c r="P14" s="33" t="s">
        <v>1368</v>
      </c>
    </row>
    <row r="15" spans="2:16" x14ac:dyDescent="0.3">
      <c r="B15" s="367" t="s">
        <v>1225</v>
      </c>
      <c r="C15" s="365" t="s">
        <v>425</v>
      </c>
      <c r="D15" s="368">
        <f>[3]Saxmundham!$I$15</f>
        <v>3500</v>
      </c>
      <c r="E15" s="368">
        <f>[2]Saxmundham!$D15</f>
        <v>3500</v>
      </c>
      <c r="F15" s="368">
        <f t="shared" si="0"/>
        <v>0</v>
      </c>
      <c r="G15" s="366">
        <f t="shared" si="1"/>
        <v>1</v>
      </c>
      <c r="H15" s="462"/>
      <c r="N15" s="33" t="s">
        <v>1369</v>
      </c>
      <c r="O15" s="33" t="s">
        <v>1366</v>
      </c>
    </row>
    <row r="16" spans="2:16" s="32" customFormat="1" ht="14.5" thickBot="1" x14ac:dyDescent="0.35">
      <c r="B16" s="301"/>
      <c r="C16" s="302" t="s">
        <v>426</v>
      </c>
      <c r="D16" s="363">
        <f>SUM(D8:D15)</f>
        <v>66108</v>
      </c>
      <c r="E16" s="363">
        <f>SUM(E8:E15)</f>
        <v>29996</v>
      </c>
      <c r="F16" s="363">
        <f t="shared" si="0"/>
        <v>36112</v>
      </c>
      <c r="G16" s="403">
        <f t="shared" si="1"/>
        <v>0.45369999999999999</v>
      </c>
      <c r="H16" s="455">
        <f>G16</f>
        <v>0.45369999999999999</v>
      </c>
    </row>
    <row r="17" spans="2:16" x14ac:dyDescent="0.3">
      <c r="B17" s="373"/>
      <c r="C17" s="384"/>
      <c r="D17" s="369"/>
      <c r="E17" s="369"/>
      <c r="F17" s="369"/>
      <c r="G17" s="456"/>
      <c r="H17" s="462"/>
    </row>
    <row r="18" spans="2:16" x14ac:dyDescent="0.3">
      <c r="B18" s="367" t="s">
        <v>1226</v>
      </c>
      <c r="C18" s="365" t="s">
        <v>427</v>
      </c>
      <c r="D18" s="368">
        <f>[3]Saxmundham!$I$18</f>
        <v>51707</v>
      </c>
      <c r="E18" s="368">
        <f>[2]Saxmundham!$D18</f>
        <v>34472</v>
      </c>
      <c r="F18" s="368">
        <f t="shared" si="0"/>
        <v>17235</v>
      </c>
      <c r="G18" s="366">
        <f t="shared" si="1"/>
        <v>0.66669999999999996</v>
      </c>
      <c r="H18" s="462"/>
      <c r="N18" s="33" t="s">
        <v>1369</v>
      </c>
      <c r="O18" s="33" t="s">
        <v>1366</v>
      </c>
      <c r="P18" s="33" t="s">
        <v>1367</v>
      </c>
    </row>
    <row r="19" spans="2:16" x14ac:dyDescent="0.3">
      <c r="B19" s="367" t="s">
        <v>1227</v>
      </c>
      <c r="C19" s="365" t="s">
        <v>428</v>
      </c>
      <c r="D19" s="368">
        <f>[3]Saxmundham!$I$19</f>
        <v>19662</v>
      </c>
      <c r="E19" s="368">
        <f>[2]Saxmundham!$D19</f>
        <v>5000</v>
      </c>
      <c r="F19" s="368">
        <f t="shared" si="0"/>
        <v>14662</v>
      </c>
      <c r="G19" s="366">
        <f t="shared" si="1"/>
        <v>0.25430000000000003</v>
      </c>
      <c r="H19" s="462"/>
      <c r="N19" s="33" t="s">
        <v>1369</v>
      </c>
      <c r="O19" s="33" t="s">
        <v>1366</v>
      </c>
    </row>
    <row r="20" spans="2:16" x14ac:dyDescent="0.3">
      <c r="B20" s="367" t="s">
        <v>1228</v>
      </c>
      <c r="C20" s="365" t="s">
        <v>429</v>
      </c>
      <c r="D20" s="368">
        <f>[3]Saxmundham!$I$20</f>
        <v>8659</v>
      </c>
      <c r="E20" s="368">
        <f>[2]Saxmundham!$D20</f>
        <v>4500</v>
      </c>
      <c r="F20" s="368">
        <f t="shared" si="0"/>
        <v>4159</v>
      </c>
      <c r="G20" s="366">
        <f t="shared" si="1"/>
        <v>0.51970000000000005</v>
      </c>
      <c r="H20" s="462"/>
    </row>
    <row r="21" spans="2:16" x14ac:dyDescent="0.3">
      <c r="B21" s="644" t="s">
        <v>1229</v>
      </c>
      <c r="C21" s="645" t="s">
        <v>430</v>
      </c>
      <c r="D21" s="642">
        <f>[3]Saxmundham!$I$21</f>
        <v>8981</v>
      </c>
      <c r="E21" s="642">
        <f>[2]Saxmundham!$D21</f>
        <v>8981</v>
      </c>
      <c r="F21" s="642">
        <f t="shared" si="0"/>
        <v>0</v>
      </c>
      <c r="G21" s="646">
        <f t="shared" si="1"/>
        <v>1</v>
      </c>
      <c r="H21" s="462"/>
      <c r="N21" s="33" t="s">
        <v>1369</v>
      </c>
      <c r="O21" s="33" t="s">
        <v>1366</v>
      </c>
      <c r="P21" s="33" t="s">
        <v>1371</v>
      </c>
    </row>
    <row r="22" spans="2:16" s="32" customFormat="1" ht="14.5" thickBot="1" x14ac:dyDescent="0.35">
      <c r="B22" s="301" t="s">
        <v>1230</v>
      </c>
      <c r="C22" s="302" t="s">
        <v>1385</v>
      </c>
      <c r="D22" s="363">
        <f>SUM(D18:D21)</f>
        <v>89009</v>
      </c>
      <c r="E22" s="363">
        <f>SUM(E18:E21)</f>
        <v>52953</v>
      </c>
      <c r="F22" s="363">
        <f t="shared" si="0"/>
        <v>36056</v>
      </c>
      <c r="G22" s="403">
        <f t="shared" si="1"/>
        <v>0.59489999999999998</v>
      </c>
      <c r="H22" s="455">
        <f>G22</f>
        <v>0.59489999999999998</v>
      </c>
    </row>
    <row r="23" spans="2:16" s="32" customFormat="1" ht="14.5" thickBot="1" x14ac:dyDescent="0.35">
      <c r="B23" s="301"/>
      <c r="C23" s="302"/>
      <c r="D23" s="363"/>
      <c r="E23" s="363"/>
      <c r="F23" s="363"/>
      <c r="G23" s="403"/>
      <c r="H23" s="455"/>
    </row>
    <row r="24" spans="2:16" s="32" customFormat="1" x14ac:dyDescent="0.3">
      <c r="B24" s="445" t="s">
        <v>1231</v>
      </c>
      <c r="C24" s="471" t="s">
        <v>431</v>
      </c>
      <c r="D24" s="368">
        <f>[3]Saxmundham!$I$24</f>
        <v>61695</v>
      </c>
      <c r="E24" s="368">
        <f>[2]Saxmundham!$D24</f>
        <v>14000</v>
      </c>
      <c r="F24" s="368">
        <f t="shared" ref="F24:F25" si="2">D24-E24</f>
        <v>47695</v>
      </c>
      <c r="G24" s="366">
        <f t="shared" ref="G24" si="3">ROUND((E24/D24),4)</f>
        <v>0.22689999999999999</v>
      </c>
      <c r="H24" s="455"/>
    </row>
    <row r="25" spans="2:16" x14ac:dyDescent="0.3">
      <c r="B25" s="554"/>
      <c r="C25" s="471" t="s">
        <v>606</v>
      </c>
      <c r="D25" s="369"/>
      <c r="E25" s="589"/>
      <c r="F25" s="368">
        <f t="shared" si="2"/>
        <v>0</v>
      </c>
      <c r="G25" s="366"/>
      <c r="H25" s="462"/>
    </row>
    <row r="26" spans="2:16" ht="14.5" thickBot="1" x14ac:dyDescent="0.35">
      <c r="B26" s="442" t="s">
        <v>1231</v>
      </c>
      <c r="C26" s="468" t="s">
        <v>431</v>
      </c>
      <c r="D26" s="363">
        <f>SUM(D24:D25)</f>
        <v>61695</v>
      </c>
      <c r="E26" s="363">
        <f>SUM(E24:E25)</f>
        <v>14000</v>
      </c>
      <c r="F26" s="370">
        <f t="shared" ref="F26" si="4">D26-E26</f>
        <v>47695</v>
      </c>
      <c r="G26" s="403">
        <f t="shared" ref="G26" si="5">ROUND((E26/D26),4)</f>
        <v>0.22689999999999999</v>
      </c>
      <c r="H26" s="462"/>
      <c r="N26" s="33" t="s">
        <v>1372</v>
      </c>
      <c r="O26" s="33" t="s">
        <v>1370</v>
      </c>
      <c r="P26" s="33" t="s">
        <v>1367</v>
      </c>
    </row>
    <row r="27" spans="2:16" x14ac:dyDescent="0.3">
      <c r="B27" s="373"/>
      <c r="C27" s="384"/>
      <c r="D27" s="369"/>
      <c r="E27" s="369"/>
      <c r="F27" s="369"/>
      <c r="G27" s="456"/>
      <c r="H27" s="462"/>
    </row>
    <row r="28" spans="2:16" x14ac:dyDescent="0.3">
      <c r="B28" s="367" t="s">
        <v>1232</v>
      </c>
      <c r="C28" s="365" t="s">
        <v>432</v>
      </c>
      <c r="D28" s="368">
        <f>[3]Saxmundham!$I$27</f>
        <v>22871</v>
      </c>
      <c r="E28" s="368">
        <f>[2]Saxmundham!$D28</f>
        <v>15871</v>
      </c>
      <c r="F28" s="368">
        <f t="shared" si="0"/>
        <v>7000</v>
      </c>
      <c r="G28" s="366">
        <f t="shared" si="1"/>
        <v>0.69389999999999996</v>
      </c>
      <c r="H28" s="462"/>
      <c r="N28" s="33" t="s">
        <v>1365</v>
      </c>
      <c r="O28" s="33" t="s">
        <v>1366</v>
      </c>
      <c r="P28" s="33" t="s">
        <v>1367</v>
      </c>
    </row>
    <row r="29" spans="2:16" x14ac:dyDescent="0.3">
      <c r="B29" s="373" t="s">
        <v>1233</v>
      </c>
      <c r="C29" s="384" t="s">
        <v>21</v>
      </c>
      <c r="D29" s="368">
        <f>[3]Saxmundham!$I$28</f>
        <v>45741</v>
      </c>
      <c r="E29" s="368">
        <f>[2]Saxmundham!$D29</f>
        <v>22872</v>
      </c>
      <c r="F29" s="369">
        <f t="shared" si="0"/>
        <v>22869</v>
      </c>
      <c r="G29" s="366">
        <f t="shared" si="1"/>
        <v>0.5</v>
      </c>
      <c r="H29" s="462"/>
      <c r="N29" s="33" t="s">
        <v>1369</v>
      </c>
      <c r="O29" s="33" t="s">
        <v>1366</v>
      </c>
      <c r="P29" s="33" t="s">
        <v>1367</v>
      </c>
    </row>
    <row r="30" spans="2:16" s="32" customFormat="1" ht="14.5" thickBot="1" x14ac:dyDescent="0.35">
      <c r="B30" s="301" t="s">
        <v>1234</v>
      </c>
      <c r="C30" s="302" t="s">
        <v>433</v>
      </c>
      <c r="D30" s="363">
        <f>SUM(D28:D29)</f>
        <v>68612</v>
      </c>
      <c r="E30" s="363">
        <f>SUM(E28:E29)</f>
        <v>38743</v>
      </c>
      <c r="F30" s="363">
        <f t="shared" si="0"/>
        <v>29869</v>
      </c>
      <c r="G30" s="403">
        <f t="shared" si="1"/>
        <v>0.56469999999999998</v>
      </c>
      <c r="H30" s="455">
        <f t="shared" ref="H30:H39" si="6">G30</f>
        <v>0.56469999999999998</v>
      </c>
    </row>
    <row r="31" spans="2:16" ht="14.25" customHeight="1" x14ac:dyDescent="0.3">
      <c r="B31" s="373"/>
      <c r="C31" s="384"/>
      <c r="D31" s="369"/>
      <c r="E31" s="369"/>
      <c r="F31" s="369"/>
      <c r="G31" s="456"/>
      <c r="H31" s="462"/>
    </row>
    <row r="32" spans="2:16" x14ac:dyDescent="0.3">
      <c r="B32" s="367" t="s">
        <v>1235</v>
      </c>
      <c r="C32" s="365" t="s">
        <v>434</v>
      </c>
      <c r="D32" s="368">
        <f>[3]Saxmundham!$I$31</f>
        <v>5510</v>
      </c>
      <c r="E32" s="368">
        <f>[2]Saxmundham!$D32</f>
        <v>2756</v>
      </c>
      <c r="F32" s="368">
        <f t="shared" si="0"/>
        <v>2754</v>
      </c>
      <c r="G32" s="366">
        <f t="shared" si="1"/>
        <v>0.50019999999999998</v>
      </c>
      <c r="H32" s="462"/>
      <c r="N32" s="33" t="s">
        <v>1365</v>
      </c>
      <c r="O32" s="33" t="s">
        <v>1366</v>
      </c>
      <c r="P32" s="33" t="s">
        <v>1368</v>
      </c>
    </row>
    <row r="33" spans="2:16" x14ac:dyDescent="0.3">
      <c r="B33" s="367" t="s">
        <v>1236</v>
      </c>
      <c r="C33" s="365" t="s">
        <v>435</v>
      </c>
      <c r="D33" s="368">
        <f>[3]Saxmundham!$I$32</f>
        <v>11988</v>
      </c>
      <c r="E33" s="368">
        <f>[2]Saxmundham!$D33</f>
        <v>8000</v>
      </c>
      <c r="F33" s="368">
        <f t="shared" si="0"/>
        <v>3988</v>
      </c>
      <c r="G33" s="366">
        <f t="shared" si="1"/>
        <v>0.6673</v>
      </c>
      <c r="H33" s="462"/>
      <c r="N33" s="33" t="s">
        <v>1365</v>
      </c>
      <c r="O33" s="33" t="s">
        <v>1366</v>
      </c>
      <c r="P33" s="33" t="s">
        <v>1371</v>
      </c>
    </row>
    <row r="34" spans="2:16" x14ac:dyDescent="0.3">
      <c r="B34" s="635" t="s">
        <v>1237</v>
      </c>
      <c r="C34" s="636" t="s">
        <v>436</v>
      </c>
      <c r="D34" s="637">
        <f>[3]Saxmundham!$I$33</f>
        <v>8356</v>
      </c>
      <c r="E34" s="637">
        <f>[2]Saxmundham!$D34</f>
        <v>0</v>
      </c>
      <c r="F34" s="637">
        <f t="shared" si="0"/>
        <v>8356</v>
      </c>
      <c r="G34" s="638">
        <f t="shared" si="1"/>
        <v>0</v>
      </c>
      <c r="H34" s="462"/>
      <c r="N34" s="33" t="s">
        <v>1369</v>
      </c>
      <c r="O34" s="33" t="s">
        <v>1370</v>
      </c>
      <c r="P34" s="33" t="s">
        <v>1367</v>
      </c>
    </row>
    <row r="35" spans="2:16" x14ac:dyDescent="0.3">
      <c r="B35" s="635" t="s">
        <v>1238</v>
      </c>
      <c r="C35" s="636" t="s">
        <v>437</v>
      </c>
      <c r="D35" s="637">
        <f>[3]Saxmundham!$I$34</f>
        <v>10770</v>
      </c>
      <c r="E35" s="637">
        <f>[2]Saxmundham!$D35</f>
        <v>0</v>
      </c>
      <c r="F35" s="637">
        <f t="shared" si="0"/>
        <v>10770</v>
      </c>
      <c r="G35" s="638">
        <f t="shared" si="1"/>
        <v>0</v>
      </c>
      <c r="H35" s="462"/>
      <c r="N35" s="33" t="s">
        <v>1365</v>
      </c>
      <c r="O35" s="33" t="s">
        <v>1366</v>
      </c>
      <c r="P35" s="33" t="s">
        <v>1368</v>
      </c>
    </row>
    <row r="36" spans="2:16" x14ac:dyDescent="0.3">
      <c r="B36" s="367" t="s">
        <v>1239</v>
      </c>
      <c r="C36" s="365" t="s">
        <v>438</v>
      </c>
      <c r="D36" s="368">
        <f>[3]Saxmundham!$I$36</f>
        <v>5261</v>
      </c>
      <c r="E36" s="368">
        <f>[2]Saxmundham!$D36</f>
        <v>3506</v>
      </c>
      <c r="F36" s="368">
        <f t="shared" si="0"/>
        <v>1755</v>
      </c>
      <c r="G36" s="366">
        <f t="shared" si="1"/>
        <v>0.66639999999999999</v>
      </c>
      <c r="H36" s="462"/>
      <c r="N36" s="33" t="s">
        <v>1369</v>
      </c>
      <c r="O36" s="33" t="s">
        <v>1370</v>
      </c>
      <c r="P36" s="33" t="s">
        <v>1367</v>
      </c>
    </row>
    <row r="37" spans="2:16" x14ac:dyDescent="0.3">
      <c r="B37" s="367" t="s">
        <v>1240</v>
      </c>
      <c r="C37" s="365" t="s">
        <v>439</v>
      </c>
      <c r="D37" s="368">
        <f>[3]Saxmundham!$I$37</f>
        <v>12379</v>
      </c>
      <c r="E37" s="368">
        <f>[2]Saxmundham!$D37</f>
        <v>8259</v>
      </c>
      <c r="F37" s="368">
        <f t="shared" si="0"/>
        <v>4120</v>
      </c>
      <c r="G37" s="366">
        <f t="shared" si="1"/>
        <v>0.66720000000000002</v>
      </c>
      <c r="H37" s="462"/>
      <c r="N37" s="33" t="s">
        <v>1365</v>
      </c>
      <c r="O37" s="33" t="s">
        <v>1366</v>
      </c>
      <c r="P37" s="33" t="s">
        <v>1368</v>
      </c>
    </row>
    <row r="38" spans="2:16" x14ac:dyDescent="0.3">
      <c r="B38" s="635" t="s">
        <v>1241</v>
      </c>
      <c r="C38" s="636" t="s">
        <v>440</v>
      </c>
      <c r="D38" s="637">
        <f>[3]Saxmundham!$I$38</f>
        <v>10708</v>
      </c>
      <c r="E38" s="637">
        <f>[2]Saxmundham!$D38</f>
        <v>0</v>
      </c>
      <c r="F38" s="637">
        <f t="shared" si="0"/>
        <v>10708</v>
      </c>
      <c r="G38" s="638">
        <f t="shared" si="1"/>
        <v>0</v>
      </c>
      <c r="H38" s="462"/>
      <c r="N38" s="33" t="s">
        <v>1365</v>
      </c>
      <c r="O38" s="33" t="s">
        <v>1366</v>
      </c>
    </row>
    <row r="39" spans="2:16" s="32" customFormat="1" ht="14.5" thickBot="1" x14ac:dyDescent="0.35">
      <c r="B39" s="301" t="s">
        <v>1242</v>
      </c>
      <c r="C39" s="302" t="s">
        <v>441</v>
      </c>
      <c r="D39" s="363">
        <f>SUM(D32:D38)</f>
        <v>64972</v>
      </c>
      <c r="E39" s="363">
        <f>SUM(E32:E38)</f>
        <v>22521</v>
      </c>
      <c r="F39" s="363">
        <f t="shared" si="0"/>
        <v>42451</v>
      </c>
      <c r="G39" s="403">
        <f t="shared" si="1"/>
        <v>0.34660000000000002</v>
      </c>
      <c r="H39" s="455">
        <f t="shared" si="6"/>
        <v>0.34660000000000002</v>
      </c>
    </row>
    <row r="40" spans="2:16" x14ac:dyDescent="0.3">
      <c r="B40" s="373"/>
      <c r="C40" s="365"/>
      <c r="D40" s="368"/>
      <c r="E40" s="368"/>
      <c r="F40" s="368"/>
      <c r="G40" s="456"/>
    </row>
    <row r="41" spans="2:16" ht="14.5" thickBot="1" x14ac:dyDescent="0.35">
      <c r="B41" s="535"/>
      <c r="C41" s="302" t="s">
        <v>57</v>
      </c>
      <c r="D41" s="363">
        <f>SUM(D39,D30,D22,D16,D24)</f>
        <v>350396</v>
      </c>
      <c r="E41" s="363">
        <f t="shared" ref="E41:F41" si="7">SUM(E39,E30,E22,E16,E24)</f>
        <v>158213</v>
      </c>
      <c r="F41" s="363">
        <f t="shared" si="7"/>
        <v>192183</v>
      </c>
      <c r="G41" s="457">
        <f t="shared" ref="G41" si="8">ROUND((E41/D41),4)</f>
        <v>0.45150000000000001</v>
      </c>
    </row>
    <row r="42" spans="2:16" x14ac:dyDescent="0.3">
      <c r="B42" s="367"/>
      <c r="C42" s="533"/>
      <c r="D42" s="440"/>
      <c r="E42" s="440"/>
      <c r="F42" s="440"/>
      <c r="G42" s="441"/>
    </row>
    <row r="43" spans="2:16" ht="14.5" thickBot="1" x14ac:dyDescent="0.35">
      <c r="B43" s="442"/>
      <c r="C43" s="468" t="s">
        <v>1622</v>
      </c>
      <c r="D43" s="370">
        <f>SUM(D39,D30,D26,D22,D16)</f>
        <v>350396</v>
      </c>
      <c r="E43" s="370">
        <f>E41</f>
        <v>158213</v>
      </c>
      <c r="F43" s="370">
        <f t="shared" ref="F43" si="9">SUM(F39,F30,F26,F22,F16)</f>
        <v>192183</v>
      </c>
      <c r="G43" s="469">
        <f>E43/D43</f>
        <v>0.45152627313097182</v>
      </c>
    </row>
    <row r="44" spans="2:16" x14ac:dyDescent="0.3">
      <c r="B44" s="554"/>
      <c r="C44" s="471"/>
      <c r="D44" s="447"/>
      <c r="E44" s="447"/>
      <c r="F44" s="447"/>
      <c r="G44" s="412"/>
    </row>
    <row r="45" spans="2:16" ht="14.5" thickBot="1" x14ac:dyDescent="0.35">
      <c r="B45" s="555"/>
      <c r="C45" s="468" t="s">
        <v>1657</v>
      </c>
      <c r="D45" s="370">
        <f>[5]Summary!$D$22</f>
        <v>321682</v>
      </c>
      <c r="E45" s="370">
        <f>[6]Saxmundham!$D$41</f>
        <v>174435</v>
      </c>
      <c r="F45" s="370">
        <f>D45-E45</f>
        <v>147247</v>
      </c>
      <c r="G45" s="469">
        <f>E45/D45</f>
        <v>0.54225912547173916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P84"/>
  <sheetViews>
    <sheetView zoomScaleNormal="100" workbookViewId="0">
      <selection activeCell="B70" sqref="B70:G70"/>
    </sheetView>
  </sheetViews>
  <sheetFormatPr defaultColWidth="8.58203125" defaultRowHeight="14" x14ac:dyDescent="0.3"/>
  <cols>
    <col min="1" max="1" width="9" style="33" customWidth="1"/>
    <col min="2" max="2" width="12.08203125" style="33" bestFit="1" customWidth="1"/>
    <col min="3" max="3" width="57.83203125" style="33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20.08203125" style="33" hidden="1" customWidth="1"/>
    <col min="12" max="12" width="9" style="33" hidden="1" customWidth="1"/>
    <col min="13" max="13" width="2.75" style="33" hidden="1" customWidth="1"/>
    <col min="14" max="14" width="16.75" style="33" hidden="1" customWidth="1"/>
    <col min="15" max="15" width="15.5" style="33" hidden="1" customWidth="1"/>
    <col min="16" max="16" width="13.83203125" style="33" hidden="1" customWidth="1"/>
    <col min="17" max="16384" width="8.58203125" style="33"/>
  </cols>
  <sheetData>
    <row r="1" spans="2:16" ht="14.5" thickBot="1" x14ac:dyDescent="0.35"/>
    <row r="2" spans="2:16" s="404" customFormat="1" ht="22.5" customHeight="1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25" customHeight="1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COUNTIF(H8:H75,"&gt;1")</f>
        <v>0</v>
      </c>
    </row>
    <row r="4" spans="2:16" s="32" customFormat="1" ht="18" thickBot="1" x14ac:dyDescent="0.4">
      <c r="B4" s="413"/>
      <c r="C4" s="521" t="s">
        <v>442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f>COUNTIF(H8:H75,1)</f>
        <v>0</v>
      </c>
    </row>
    <row r="5" spans="2:16" ht="14.25" customHeight="1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2</v>
      </c>
    </row>
    <row r="6" spans="2:16" s="32" customFormat="1" ht="14.5" thickBot="1" x14ac:dyDescent="0.35">
      <c r="B6" s="418" t="s">
        <v>592</v>
      </c>
      <c r="C6" s="420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7</v>
      </c>
      <c r="N6" s="32" t="s">
        <v>1362</v>
      </c>
      <c r="O6" s="32" t="s">
        <v>1363</v>
      </c>
      <c r="P6" s="32" t="s">
        <v>1364</v>
      </c>
    </row>
    <row r="7" spans="2:16" ht="14.25" customHeight="1" x14ac:dyDescent="0.3">
      <c r="B7" s="445"/>
      <c r="C7" s="471"/>
      <c r="D7" s="471"/>
      <c r="E7" s="471"/>
      <c r="F7" s="471"/>
      <c r="G7" s="412"/>
      <c r="K7" s="33" t="s">
        <v>547</v>
      </c>
      <c r="L7" s="33">
        <v>0</v>
      </c>
    </row>
    <row r="8" spans="2:16" x14ac:dyDescent="0.3">
      <c r="B8" s="635" t="s">
        <v>1244</v>
      </c>
      <c r="C8" s="636" t="s">
        <v>443</v>
      </c>
      <c r="D8" s="637">
        <f>'[3]Waveney and Blyth'!$I$13</f>
        <v>1836</v>
      </c>
      <c r="E8" s="637">
        <f>'[2]Waveney &amp; Blyth'!$D8</f>
        <v>0</v>
      </c>
      <c r="F8" s="637">
        <f t="shared" ref="F8:F73" si="0">D8-E8</f>
        <v>1836</v>
      </c>
      <c r="G8" s="638">
        <f t="shared" ref="G8:G76" si="1">ROUND((E8/D8),4)</f>
        <v>0</v>
      </c>
      <c r="H8" s="455"/>
    </row>
    <row r="9" spans="2:16" x14ac:dyDescent="0.3">
      <c r="B9" s="367" t="s">
        <v>1245</v>
      </c>
      <c r="C9" s="365" t="s">
        <v>444</v>
      </c>
      <c r="D9" s="368">
        <f>'[3]Waveney and Blyth'!$I$14</f>
        <v>11688</v>
      </c>
      <c r="E9" s="368">
        <f>'[2]Waveney &amp; Blyth'!$D9</f>
        <v>2000</v>
      </c>
      <c r="F9" s="368">
        <f t="shared" si="0"/>
        <v>9688</v>
      </c>
      <c r="G9" s="366">
        <f t="shared" si="1"/>
        <v>0.1711</v>
      </c>
      <c r="H9" s="455"/>
      <c r="N9" s="33" t="s">
        <v>1365</v>
      </c>
      <c r="O9" s="33" t="s">
        <v>1366</v>
      </c>
    </row>
    <row r="10" spans="2:16" x14ac:dyDescent="0.3">
      <c r="B10" s="644" t="s">
        <v>1246</v>
      </c>
      <c r="C10" s="645" t="s">
        <v>445</v>
      </c>
      <c r="D10" s="642">
        <f>'[3]Waveney and Blyth'!$I$15</f>
        <v>8364</v>
      </c>
      <c r="E10" s="642">
        <f>'[2]Waveney &amp; Blyth'!$D10</f>
        <v>8364</v>
      </c>
      <c r="F10" s="642">
        <f t="shared" si="0"/>
        <v>0</v>
      </c>
      <c r="G10" s="646">
        <f t="shared" si="1"/>
        <v>1</v>
      </c>
      <c r="H10" s="455"/>
      <c r="N10" s="33" t="s">
        <v>1372</v>
      </c>
      <c r="O10" s="33" t="s">
        <v>1370</v>
      </c>
      <c r="P10" s="33" t="s">
        <v>1367</v>
      </c>
    </row>
    <row r="11" spans="2:16" x14ac:dyDescent="0.3">
      <c r="B11" s="367" t="s">
        <v>1247</v>
      </c>
      <c r="C11" s="365" t="s">
        <v>446</v>
      </c>
      <c r="D11" s="368">
        <f>'[3]Waveney and Blyth'!$I$16</f>
        <v>22916</v>
      </c>
      <c r="E11" s="368">
        <f>'[2]Waveney &amp; Blyth'!$D11</f>
        <v>1000</v>
      </c>
      <c r="F11" s="368">
        <f t="shared" si="0"/>
        <v>21916</v>
      </c>
      <c r="G11" s="366">
        <f t="shared" si="1"/>
        <v>4.36E-2</v>
      </c>
      <c r="H11" s="455"/>
      <c r="N11" s="33" t="s">
        <v>1365</v>
      </c>
      <c r="O11" s="33" t="s">
        <v>1366</v>
      </c>
    </row>
    <row r="12" spans="2:16" x14ac:dyDescent="0.3">
      <c r="B12" s="367" t="s">
        <v>1248</v>
      </c>
      <c r="C12" s="365" t="s">
        <v>447</v>
      </c>
      <c r="D12" s="368">
        <f>'[3]Waveney and Blyth'!$I$17</f>
        <v>17880</v>
      </c>
      <c r="E12" s="368">
        <f>'[2]Waveney &amp; Blyth'!$D12</f>
        <v>5250</v>
      </c>
      <c r="F12" s="368">
        <f t="shared" si="0"/>
        <v>12630</v>
      </c>
      <c r="G12" s="366">
        <f t="shared" si="1"/>
        <v>0.29360000000000003</v>
      </c>
      <c r="H12" s="455"/>
      <c r="N12" s="33" t="s">
        <v>1365</v>
      </c>
      <c r="O12" s="33" t="s">
        <v>1366</v>
      </c>
      <c r="P12" s="33" t="s">
        <v>1373</v>
      </c>
    </row>
    <row r="13" spans="2:16" x14ac:dyDescent="0.3">
      <c r="B13" s="635" t="s">
        <v>1249</v>
      </c>
      <c r="C13" s="636" t="s">
        <v>448</v>
      </c>
      <c r="D13" s="637">
        <f>'[3]Waveney and Blyth'!$I$18</f>
        <v>6420</v>
      </c>
      <c r="E13" s="637">
        <f>'[2]Waveney &amp; Blyth'!$D13</f>
        <v>0</v>
      </c>
      <c r="F13" s="637">
        <f t="shared" si="0"/>
        <v>6420</v>
      </c>
      <c r="G13" s="638">
        <f t="shared" si="1"/>
        <v>0</v>
      </c>
      <c r="H13" s="455"/>
    </row>
    <row r="14" spans="2:16" x14ac:dyDescent="0.3">
      <c r="B14" s="367" t="s">
        <v>1250</v>
      </c>
      <c r="C14" s="365" t="s">
        <v>449</v>
      </c>
      <c r="D14" s="368">
        <f>'[3]Waveney and Blyth'!$I$19</f>
        <v>6648</v>
      </c>
      <c r="E14" s="368">
        <f>'[2]Waveney &amp; Blyth'!$D14</f>
        <v>3878</v>
      </c>
      <c r="F14" s="368">
        <f t="shared" si="0"/>
        <v>2770</v>
      </c>
      <c r="G14" s="366">
        <f t="shared" si="1"/>
        <v>0.58330000000000004</v>
      </c>
      <c r="H14" s="455"/>
      <c r="N14" s="33" t="s">
        <v>1365</v>
      </c>
      <c r="O14" s="33" t="s">
        <v>1366</v>
      </c>
      <c r="P14" s="33" t="s">
        <v>1367</v>
      </c>
    </row>
    <row r="15" spans="2:16" x14ac:dyDescent="0.3">
      <c r="B15" s="367" t="s">
        <v>1251</v>
      </c>
      <c r="C15" s="365" t="s">
        <v>450</v>
      </c>
      <c r="D15" s="368">
        <f>'[3]Waveney and Blyth'!$I$20</f>
        <v>1836</v>
      </c>
      <c r="E15" s="368">
        <f>'[2]Waveney &amp; Blyth'!$D15</f>
        <v>500</v>
      </c>
      <c r="F15" s="368">
        <f t="shared" si="0"/>
        <v>1336</v>
      </c>
      <c r="G15" s="366">
        <f t="shared" si="1"/>
        <v>0.27229999999999999</v>
      </c>
      <c r="H15" s="455"/>
      <c r="N15" s="33" t="s">
        <v>1365</v>
      </c>
      <c r="O15" s="33" t="s">
        <v>1366</v>
      </c>
      <c r="P15" s="33" t="s">
        <v>1368</v>
      </c>
    </row>
    <row r="16" spans="2:16" x14ac:dyDescent="0.3">
      <c r="B16" s="367" t="s">
        <v>1252</v>
      </c>
      <c r="C16" s="365" t="s">
        <v>451</v>
      </c>
      <c r="D16" s="368">
        <f>'[3]Waveney and Blyth'!$I$21</f>
        <v>18336</v>
      </c>
      <c r="E16" s="368">
        <f>'[2]Waveney &amp; Blyth'!$D16</f>
        <v>11500</v>
      </c>
      <c r="F16" s="368">
        <f t="shared" si="0"/>
        <v>6836</v>
      </c>
      <c r="G16" s="366">
        <f t="shared" si="1"/>
        <v>0.62719999999999998</v>
      </c>
      <c r="H16" s="455"/>
      <c r="N16" s="33" t="s">
        <v>1365</v>
      </c>
      <c r="O16" s="33" t="s">
        <v>1366</v>
      </c>
    </row>
    <row r="17" spans="2:16" x14ac:dyDescent="0.3">
      <c r="B17" s="367" t="s">
        <v>1253</v>
      </c>
      <c r="C17" s="365" t="s">
        <v>452</v>
      </c>
      <c r="D17" s="368">
        <f>'[3]Waveney and Blyth'!$I$22</f>
        <v>11580</v>
      </c>
      <c r="E17" s="368">
        <f>'[2]Waveney &amp; Blyth'!$D17</f>
        <v>6000</v>
      </c>
      <c r="F17" s="368">
        <f t="shared" si="0"/>
        <v>5580</v>
      </c>
      <c r="G17" s="366">
        <f t="shared" si="1"/>
        <v>0.5181</v>
      </c>
      <c r="H17" s="455"/>
      <c r="N17" s="33" t="s">
        <v>1369</v>
      </c>
      <c r="O17" s="33" t="s">
        <v>1370</v>
      </c>
      <c r="P17" s="33" t="s">
        <v>1367</v>
      </c>
    </row>
    <row r="18" spans="2:16" s="32" customFormat="1" x14ac:dyDescent="0.3">
      <c r="B18" s="367" t="s">
        <v>1649</v>
      </c>
      <c r="C18" s="365" t="s">
        <v>1650</v>
      </c>
      <c r="D18" s="368">
        <f>'[3]Waveney and Blyth'!$I$23</f>
        <v>5694</v>
      </c>
      <c r="E18" s="368">
        <f>'[2]Waveney &amp; Blyth'!$D18</f>
        <v>2848</v>
      </c>
      <c r="F18" s="368">
        <f t="shared" si="0"/>
        <v>2846</v>
      </c>
      <c r="G18" s="366">
        <f t="shared" si="1"/>
        <v>0.50019999999999998</v>
      </c>
      <c r="H18" s="455">
        <f t="shared" ref="H18:H75" si="2">G19</f>
        <v>0.36520000000000002</v>
      </c>
      <c r="N18" s="33"/>
      <c r="O18" s="33"/>
      <c r="P18" s="33"/>
    </row>
    <row r="19" spans="2:16" ht="14.25" customHeight="1" thickBot="1" x14ac:dyDescent="0.35">
      <c r="B19" s="301" t="s">
        <v>1254</v>
      </c>
      <c r="C19" s="302" t="s">
        <v>453</v>
      </c>
      <c r="D19" s="363">
        <f>SUM(D8:D18)</f>
        <v>113198</v>
      </c>
      <c r="E19" s="363">
        <f>SUM(E8:E18)</f>
        <v>41340</v>
      </c>
      <c r="F19" s="363">
        <f t="shared" si="0"/>
        <v>71858</v>
      </c>
      <c r="G19" s="403">
        <f t="shared" si="1"/>
        <v>0.36520000000000002</v>
      </c>
      <c r="H19" s="455"/>
    </row>
    <row r="20" spans="2:16" x14ac:dyDescent="0.3">
      <c r="B20" s="367"/>
      <c r="C20" s="365"/>
      <c r="D20" s="368"/>
      <c r="E20" s="368"/>
      <c r="F20" s="368"/>
      <c r="G20" s="366"/>
      <c r="H20" s="455"/>
      <c r="N20" s="33" t="s">
        <v>1365</v>
      </c>
      <c r="O20" s="33" t="s">
        <v>1366</v>
      </c>
    </row>
    <row r="21" spans="2:16" x14ac:dyDescent="0.3">
      <c r="B21" s="367" t="s">
        <v>1255</v>
      </c>
      <c r="C21" s="365" t="s">
        <v>454</v>
      </c>
      <c r="D21" s="368">
        <f>'[3]Waveney and Blyth'!$I$29</f>
        <v>15000</v>
      </c>
      <c r="E21" s="368">
        <f>'[2]Waveney &amp; Blyth'!$D21</f>
        <v>7000</v>
      </c>
      <c r="F21" s="368">
        <f>D21-E21</f>
        <v>8000</v>
      </c>
      <c r="G21" s="366">
        <f t="shared" si="1"/>
        <v>0.4667</v>
      </c>
      <c r="H21" s="455"/>
      <c r="N21" s="33" t="s">
        <v>1365</v>
      </c>
      <c r="O21" s="33" t="s">
        <v>1366</v>
      </c>
    </row>
    <row r="22" spans="2:16" x14ac:dyDescent="0.3">
      <c r="B22" s="367" t="s">
        <v>1256</v>
      </c>
      <c r="C22" s="365" t="s">
        <v>455</v>
      </c>
      <c r="D22" s="368">
        <f>'[3]Waveney and Blyth'!$I$30</f>
        <v>25196</v>
      </c>
      <c r="E22" s="368">
        <f>'[2]Waveney &amp; Blyth'!$D22</f>
        <v>18000</v>
      </c>
      <c r="F22" s="368">
        <f t="shared" ref="F22:F24" si="3">D22-E22</f>
        <v>7196</v>
      </c>
      <c r="G22" s="366">
        <f t="shared" si="1"/>
        <v>0.71440000000000003</v>
      </c>
      <c r="H22" s="455"/>
      <c r="N22" s="33" t="s">
        <v>1365</v>
      </c>
      <c r="O22" s="33" t="s">
        <v>1366</v>
      </c>
    </row>
    <row r="23" spans="2:16" x14ac:dyDescent="0.3">
      <c r="B23" s="644" t="s">
        <v>1257</v>
      </c>
      <c r="C23" s="645" t="s">
        <v>456</v>
      </c>
      <c r="D23" s="642">
        <f>'[3]Waveney and Blyth'!$I$31</f>
        <v>1500</v>
      </c>
      <c r="E23" s="642">
        <f>'[2]Waveney &amp; Blyth'!$D23</f>
        <v>1500</v>
      </c>
      <c r="F23" s="642">
        <f t="shared" si="3"/>
        <v>0</v>
      </c>
      <c r="G23" s="646">
        <f t="shared" si="1"/>
        <v>1</v>
      </c>
      <c r="H23" s="455"/>
    </row>
    <row r="24" spans="2:16" s="32" customFormat="1" x14ac:dyDescent="0.3">
      <c r="B24" s="367"/>
      <c r="C24" s="365" t="s">
        <v>1660</v>
      </c>
      <c r="D24" s="368">
        <f>'[3]Waveney and Blyth'!$I$32</f>
        <v>24814</v>
      </c>
      <c r="E24" s="368">
        <f>'[2]Waveney &amp; Blyth'!$D24</f>
        <v>16543</v>
      </c>
      <c r="F24" s="368">
        <f t="shared" si="3"/>
        <v>8271</v>
      </c>
      <c r="G24" s="366">
        <f t="shared" si="1"/>
        <v>0.66669999999999996</v>
      </c>
      <c r="H24" s="455">
        <f t="shared" si="2"/>
        <v>0.6472</v>
      </c>
      <c r="N24" s="33"/>
      <c r="O24" s="33"/>
      <c r="P24" s="33"/>
    </row>
    <row r="25" spans="2:16" ht="14.25" customHeight="1" thickBot="1" x14ac:dyDescent="0.35">
      <c r="B25" s="301" t="s">
        <v>1258</v>
      </c>
      <c r="C25" s="302" t="s">
        <v>457</v>
      </c>
      <c r="D25" s="363">
        <f>SUM(D21:D24)</f>
        <v>66510</v>
      </c>
      <c r="E25" s="363">
        <f>SUM(E21:E24)</f>
        <v>43043</v>
      </c>
      <c r="F25" s="363">
        <f t="shared" si="0"/>
        <v>23467</v>
      </c>
      <c r="G25" s="403">
        <f t="shared" si="1"/>
        <v>0.6472</v>
      </c>
      <c r="H25" s="455"/>
    </row>
    <row r="26" spans="2:16" x14ac:dyDescent="0.3">
      <c r="B26" s="367" t="s">
        <v>554</v>
      </c>
      <c r="C26" s="365"/>
      <c r="D26" s="368"/>
      <c r="E26" s="368"/>
      <c r="F26" s="368"/>
      <c r="G26" s="366"/>
      <c r="H26" s="455"/>
    </row>
    <row r="27" spans="2:16" x14ac:dyDescent="0.3">
      <c r="B27" s="644" t="s">
        <v>1259</v>
      </c>
      <c r="C27" s="645" t="s">
        <v>458</v>
      </c>
      <c r="D27" s="642">
        <f>'[3]Waveney and Blyth'!$I$24</f>
        <v>1488</v>
      </c>
      <c r="E27" s="642">
        <f>'[2]Waveney &amp; Blyth'!$D27</f>
        <v>3488</v>
      </c>
      <c r="F27" s="642">
        <f>D27-E27</f>
        <v>-2000</v>
      </c>
      <c r="G27" s="646">
        <f t="shared" si="1"/>
        <v>2.3441000000000001</v>
      </c>
      <c r="H27" s="455"/>
    </row>
    <row r="28" spans="2:16" x14ac:dyDescent="0.3">
      <c r="B28" s="635" t="s">
        <v>1260</v>
      </c>
      <c r="C28" s="636" t="s">
        <v>459</v>
      </c>
      <c r="D28" s="637">
        <f>'[3]Waveney and Blyth'!$I$25</f>
        <v>2412</v>
      </c>
      <c r="E28" s="637">
        <f>'[2]Waveney &amp; Blyth'!$D28</f>
        <v>0</v>
      </c>
      <c r="F28" s="637">
        <f>D28-E28</f>
        <v>2412</v>
      </c>
      <c r="G28" s="638">
        <f t="shared" si="1"/>
        <v>0</v>
      </c>
      <c r="H28" s="455"/>
      <c r="N28" s="32"/>
      <c r="O28" s="32"/>
      <c r="P28" s="32"/>
    </row>
    <row r="29" spans="2:16" s="32" customFormat="1" x14ac:dyDescent="0.3">
      <c r="B29" s="373" t="s">
        <v>1261</v>
      </c>
      <c r="C29" s="384" t="s">
        <v>460</v>
      </c>
      <c r="D29" s="368">
        <f>'[3]Waveney and Blyth'!$I$26</f>
        <v>3204</v>
      </c>
      <c r="E29" s="368">
        <f>'[2]Waveney &amp; Blyth'!$D29</f>
        <v>1602</v>
      </c>
      <c r="F29" s="369">
        <f>D29-E29</f>
        <v>1602</v>
      </c>
      <c r="G29" s="366">
        <f t="shared" si="1"/>
        <v>0.5</v>
      </c>
      <c r="H29" s="455">
        <f t="shared" si="2"/>
        <v>0.71650000000000003</v>
      </c>
      <c r="N29" s="33"/>
      <c r="O29" s="33"/>
      <c r="P29" s="33"/>
    </row>
    <row r="30" spans="2:16" ht="14.25" customHeight="1" thickBot="1" x14ac:dyDescent="0.35">
      <c r="B30" s="301" t="s">
        <v>1262</v>
      </c>
      <c r="C30" s="302" t="s">
        <v>461</v>
      </c>
      <c r="D30" s="363">
        <f>SUM(D27:D29)</f>
        <v>7104</v>
      </c>
      <c r="E30" s="363">
        <f>SUM(E27:E29)</f>
        <v>5090</v>
      </c>
      <c r="F30" s="363">
        <f t="shared" si="0"/>
        <v>2014</v>
      </c>
      <c r="G30" s="403">
        <f t="shared" si="1"/>
        <v>0.71650000000000003</v>
      </c>
      <c r="H30" s="455"/>
    </row>
    <row r="31" spans="2:16" x14ac:dyDescent="0.3">
      <c r="B31" s="367"/>
      <c r="C31" s="365"/>
      <c r="D31" s="368"/>
      <c r="E31" s="368"/>
      <c r="F31" s="368"/>
      <c r="G31" s="366"/>
      <c r="H31" s="455"/>
      <c r="N31" s="33" t="s">
        <v>1369</v>
      </c>
      <c r="O31" s="33" t="s">
        <v>1370</v>
      </c>
      <c r="P31" s="33" t="s">
        <v>1367</v>
      </c>
    </row>
    <row r="32" spans="2:16" x14ac:dyDescent="0.3">
      <c r="B32" s="635" t="s">
        <v>1263</v>
      </c>
      <c r="C32" s="636" t="s">
        <v>462</v>
      </c>
      <c r="D32" s="637">
        <f>'[3]Waveney and Blyth'!$I$35</f>
        <v>7553</v>
      </c>
      <c r="E32" s="637">
        <f>'[2]Waveney &amp; Blyth'!$D32</f>
        <v>0</v>
      </c>
      <c r="F32" s="637">
        <f t="shared" si="0"/>
        <v>7553</v>
      </c>
      <c r="G32" s="638">
        <f t="shared" si="1"/>
        <v>0</v>
      </c>
      <c r="H32" s="455"/>
      <c r="N32" s="33" t="s">
        <v>1365</v>
      </c>
      <c r="O32" s="33" t="s">
        <v>1366</v>
      </c>
    </row>
    <row r="33" spans="2:16" x14ac:dyDescent="0.3">
      <c r="B33" s="367" t="s">
        <v>1264</v>
      </c>
      <c r="C33" s="365" t="s">
        <v>463</v>
      </c>
      <c r="D33" s="368">
        <f>'[3]Waveney and Blyth'!$I$36</f>
        <v>5325</v>
      </c>
      <c r="E33" s="368">
        <f>'[2]Waveney &amp; Blyth'!$D33</f>
        <v>3000</v>
      </c>
      <c r="F33" s="368">
        <f t="shared" si="0"/>
        <v>2325</v>
      </c>
      <c r="G33" s="366">
        <f t="shared" si="1"/>
        <v>0.56340000000000001</v>
      </c>
      <c r="H33" s="455"/>
      <c r="N33" s="33" t="s">
        <v>1365</v>
      </c>
      <c r="O33" s="33" t="s">
        <v>1366</v>
      </c>
    </row>
    <row r="34" spans="2:16" x14ac:dyDescent="0.3">
      <c r="B34" s="367" t="s">
        <v>1265</v>
      </c>
      <c r="C34" s="365" t="s">
        <v>464</v>
      </c>
      <c r="D34" s="368">
        <f>'[3]Waveney and Blyth'!$I$37</f>
        <v>6467</v>
      </c>
      <c r="E34" s="368">
        <f>'[2]Waveney &amp; Blyth'!$D34</f>
        <v>2000</v>
      </c>
      <c r="F34" s="368">
        <f t="shared" si="0"/>
        <v>4467</v>
      </c>
      <c r="G34" s="366">
        <f t="shared" si="1"/>
        <v>0.30930000000000002</v>
      </c>
      <c r="H34" s="455"/>
      <c r="N34" s="33" t="s">
        <v>1365</v>
      </c>
      <c r="O34" s="33" t="s">
        <v>1366</v>
      </c>
    </row>
    <row r="35" spans="2:16" x14ac:dyDescent="0.3">
      <c r="B35" s="635" t="s">
        <v>1266</v>
      </c>
      <c r="C35" s="636" t="s">
        <v>465</v>
      </c>
      <c r="D35" s="637">
        <f>'[3]Waveney and Blyth'!$I$38</f>
        <v>4628</v>
      </c>
      <c r="E35" s="637">
        <f>'[2]Waveney &amp; Blyth'!$D35</f>
        <v>0</v>
      </c>
      <c r="F35" s="637">
        <f t="shared" si="0"/>
        <v>4628</v>
      </c>
      <c r="G35" s="638">
        <f t="shared" si="1"/>
        <v>0</v>
      </c>
      <c r="H35" s="455"/>
      <c r="N35" s="33" t="s">
        <v>1369</v>
      </c>
      <c r="O35" s="33" t="s">
        <v>1370</v>
      </c>
      <c r="P35" s="33" t="s">
        <v>1367</v>
      </c>
    </row>
    <row r="36" spans="2:16" x14ac:dyDescent="0.3">
      <c r="B36" s="367" t="s">
        <v>1267</v>
      </c>
      <c r="C36" s="365" t="s">
        <v>466</v>
      </c>
      <c r="D36" s="368">
        <f>'[3]Waveney and Blyth'!$I$39</f>
        <v>7776</v>
      </c>
      <c r="E36" s="368">
        <f>'[2]Waveney &amp; Blyth'!$D36</f>
        <v>3600</v>
      </c>
      <c r="F36" s="368">
        <f t="shared" si="0"/>
        <v>4176</v>
      </c>
      <c r="G36" s="366">
        <f t="shared" si="1"/>
        <v>0.46300000000000002</v>
      </c>
      <c r="H36" s="455"/>
      <c r="N36" s="33" t="s">
        <v>1372</v>
      </c>
      <c r="O36" s="33" t="s">
        <v>1366</v>
      </c>
      <c r="P36" s="33" t="s">
        <v>1367</v>
      </c>
    </row>
    <row r="37" spans="2:16" x14ac:dyDescent="0.3">
      <c r="B37" s="367" t="s">
        <v>1268</v>
      </c>
      <c r="C37" s="365" t="s">
        <v>467</v>
      </c>
      <c r="D37" s="368">
        <f>'[3]Waveney and Blyth'!$I$40</f>
        <v>6300</v>
      </c>
      <c r="E37" s="368">
        <f>'[2]Waveney &amp; Blyth'!$D37</f>
        <v>2400</v>
      </c>
      <c r="F37" s="368">
        <f t="shared" si="0"/>
        <v>3900</v>
      </c>
      <c r="G37" s="366">
        <f t="shared" si="1"/>
        <v>0.38100000000000001</v>
      </c>
      <c r="H37" s="455"/>
      <c r="N37" s="33" t="s">
        <v>1369</v>
      </c>
      <c r="O37" s="33" t="s">
        <v>1370</v>
      </c>
      <c r="P37" s="33" t="s">
        <v>1367</v>
      </c>
    </row>
    <row r="38" spans="2:16" x14ac:dyDescent="0.3">
      <c r="B38" s="635" t="s">
        <v>1269</v>
      </c>
      <c r="C38" s="636" t="s">
        <v>468</v>
      </c>
      <c r="D38" s="637">
        <f>'[3]Waveney and Blyth'!$I$41</f>
        <v>3932</v>
      </c>
      <c r="E38" s="637">
        <f>'[2]Waveney &amp; Blyth'!$D38</f>
        <v>0</v>
      </c>
      <c r="F38" s="637">
        <f t="shared" si="0"/>
        <v>3932</v>
      </c>
      <c r="G38" s="638">
        <f t="shared" si="1"/>
        <v>0</v>
      </c>
      <c r="H38" s="455"/>
    </row>
    <row r="39" spans="2:16" x14ac:dyDescent="0.3">
      <c r="B39" s="367" t="s">
        <v>1270</v>
      </c>
      <c r="C39" s="365" t="s">
        <v>469</v>
      </c>
      <c r="D39" s="368">
        <f>'[3]Waveney and Blyth'!$I$42</f>
        <v>7581</v>
      </c>
      <c r="E39" s="368">
        <f>'[2]Waveney &amp; Blyth'!$D39</f>
        <v>3791</v>
      </c>
      <c r="F39" s="368">
        <f t="shared" si="0"/>
        <v>3790</v>
      </c>
      <c r="G39" s="366">
        <f t="shared" si="1"/>
        <v>0.50009999999999999</v>
      </c>
      <c r="H39" s="455"/>
      <c r="N39" s="32"/>
      <c r="O39" s="32"/>
      <c r="P39" s="32"/>
    </row>
    <row r="40" spans="2:16" x14ac:dyDescent="0.3">
      <c r="B40" s="635" t="s">
        <v>1271</v>
      </c>
      <c r="C40" s="636" t="s">
        <v>470</v>
      </c>
      <c r="D40" s="637">
        <f>'[3]Waveney and Blyth'!$I$43</f>
        <v>5157</v>
      </c>
      <c r="E40" s="637">
        <f>'[2]Waveney &amp; Blyth'!$D40</f>
        <v>0</v>
      </c>
      <c r="F40" s="637">
        <f t="shared" si="0"/>
        <v>5157</v>
      </c>
      <c r="G40" s="638">
        <f t="shared" si="1"/>
        <v>0</v>
      </c>
      <c r="H40" s="455"/>
      <c r="N40" s="32"/>
      <c r="O40" s="32"/>
      <c r="P40" s="32"/>
    </row>
    <row r="41" spans="2:16" s="32" customFormat="1" x14ac:dyDescent="0.3">
      <c r="B41" s="367"/>
      <c r="C41" s="435" t="s">
        <v>1620</v>
      </c>
      <c r="D41" s="368">
        <f>'[3]Waveney and Blyth'!$I$44</f>
        <v>3000</v>
      </c>
      <c r="E41" s="368">
        <f>'[2]Waveney &amp; Blyth'!$D41</f>
        <v>3000</v>
      </c>
      <c r="F41" s="368">
        <f t="shared" si="0"/>
        <v>0</v>
      </c>
      <c r="G41" s="366">
        <f t="shared" si="1"/>
        <v>1</v>
      </c>
      <c r="H41" s="455">
        <f t="shared" si="2"/>
        <v>0.30819999999999997</v>
      </c>
      <c r="N41" s="33"/>
      <c r="O41" s="33"/>
      <c r="P41" s="33"/>
    </row>
    <row r="42" spans="2:16" ht="14.25" customHeight="1" thickBot="1" x14ac:dyDescent="0.35">
      <c r="B42" s="301" t="s">
        <v>1272</v>
      </c>
      <c r="C42" s="302" t="s">
        <v>471</v>
      </c>
      <c r="D42" s="363">
        <f>SUM(D32:D41)</f>
        <v>57719</v>
      </c>
      <c r="E42" s="363">
        <f>SUM(E32:E41)</f>
        <v>17791</v>
      </c>
      <c r="F42" s="363">
        <f t="shared" si="0"/>
        <v>39928</v>
      </c>
      <c r="G42" s="403">
        <f t="shared" si="1"/>
        <v>0.30819999999999997</v>
      </c>
      <c r="H42" s="455"/>
    </row>
    <row r="43" spans="2:16" x14ac:dyDescent="0.3">
      <c r="B43" s="367"/>
      <c r="C43" s="365"/>
      <c r="D43" s="368"/>
      <c r="E43" s="368"/>
      <c r="F43" s="368"/>
      <c r="G43" s="366"/>
      <c r="H43" s="455"/>
    </row>
    <row r="44" spans="2:16" x14ac:dyDescent="0.3">
      <c r="B44" s="635" t="s">
        <v>1273</v>
      </c>
      <c r="C44" s="636" t="s">
        <v>472</v>
      </c>
      <c r="D44" s="637">
        <f>'[3]Waveney and Blyth'!$I$47</f>
        <v>2024</v>
      </c>
      <c r="E44" s="637">
        <f>'[2]Waveney &amp; Blyth'!$D44</f>
        <v>0</v>
      </c>
      <c r="F44" s="637">
        <f t="shared" si="0"/>
        <v>2024</v>
      </c>
      <c r="G44" s="638">
        <f t="shared" si="1"/>
        <v>0</v>
      </c>
      <c r="H44" s="455"/>
      <c r="N44" s="33" t="s">
        <v>1365</v>
      </c>
      <c r="O44" s="33" t="s">
        <v>1366</v>
      </c>
      <c r="P44" s="33" t="s">
        <v>1368</v>
      </c>
    </row>
    <row r="45" spans="2:16" x14ac:dyDescent="0.3">
      <c r="B45" s="635" t="s">
        <v>1274</v>
      </c>
      <c r="C45" s="636" t="s">
        <v>473</v>
      </c>
      <c r="D45" s="637">
        <f>'[3]Waveney and Blyth'!$I$48</f>
        <v>1970</v>
      </c>
      <c r="E45" s="637">
        <f>'[2]Waveney &amp; Blyth'!$D45</f>
        <v>0</v>
      </c>
      <c r="F45" s="637">
        <f t="shared" si="0"/>
        <v>1970</v>
      </c>
      <c r="G45" s="638">
        <f t="shared" si="1"/>
        <v>0</v>
      </c>
      <c r="H45" s="455"/>
    </row>
    <row r="46" spans="2:16" x14ac:dyDescent="0.3">
      <c r="B46" s="367" t="s">
        <v>1275</v>
      </c>
      <c r="C46" s="365" t="s">
        <v>474</v>
      </c>
      <c r="D46" s="368">
        <f>'[3]Waveney and Blyth'!$I$49</f>
        <v>1637</v>
      </c>
      <c r="E46" s="368">
        <f>'[2]Waveney &amp; Blyth'!$D46</f>
        <v>500</v>
      </c>
      <c r="F46" s="368">
        <f t="shared" si="0"/>
        <v>1137</v>
      </c>
      <c r="G46" s="366">
        <f t="shared" si="1"/>
        <v>0.3054</v>
      </c>
      <c r="H46" s="455"/>
      <c r="N46" s="33" t="s">
        <v>1365</v>
      </c>
      <c r="O46" s="33" t="s">
        <v>1366</v>
      </c>
      <c r="P46" s="33" t="s">
        <v>1375</v>
      </c>
    </row>
    <row r="47" spans="2:16" x14ac:dyDescent="0.3">
      <c r="B47" s="635" t="s">
        <v>1276</v>
      </c>
      <c r="C47" s="636" t="s">
        <v>475</v>
      </c>
      <c r="D47" s="637">
        <f>'[3]Waveney and Blyth'!$I$50</f>
        <v>1970</v>
      </c>
      <c r="E47" s="637">
        <f>'[2]Waveney &amp; Blyth'!$D47</f>
        <v>0</v>
      </c>
      <c r="F47" s="637">
        <f t="shared" si="0"/>
        <v>1970</v>
      </c>
      <c r="G47" s="638">
        <f t="shared" si="1"/>
        <v>0</v>
      </c>
      <c r="H47" s="455"/>
      <c r="N47" s="33" t="s">
        <v>1365</v>
      </c>
      <c r="O47" s="33" t="s">
        <v>1366</v>
      </c>
      <c r="P47" s="33" t="s">
        <v>1375</v>
      </c>
    </row>
    <row r="48" spans="2:16" x14ac:dyDescent="0.3">
      <c r="B48" s="644" t="s">
        <v>1277</v>
      </c>
      <c r="C48" s="645" t="s">
        <v>476</v>
      </c>
      <c r="D48" s="642">
        <f>'[3]Waveney and Blyth'!$I$51</f>
        <v>1956</v>
      </c>
      <c r="E48" s="642">
        <f>'[2]Waveney &amp; Blyth'!$D48</f>
        <v>1956</v>
      </c>
      <c r="F48" s="642">
        <f t="shared" si="0"/>
        <v>0</v>
      </c>
      <c r="G48" s="646">
        <f t="shared" si="1"/>
        <v>1</v>
      </c>
      <c r="H48" s="455"/>
    </row>
    <row r="49" spans="2:16" x14ac:dyDescent="0.3">
      <c r="B49" s="644" t="s">
        <v>1278</v>
      </c>
      <c r="C49" s="645" t="s">
        <v>477</v>
      </c>
      <c r="D49" s="642">
        <f>'[3]Waveney and Blyth'!$I$52</f>
        <v>2870</v>
      </c>
      <c r="E49" s="642">
        <f>'[2]Waveney &amp; Blyth'!$D49</f>
        <v>2870</v>
      </c>
      <c r="F49" s="642">
        <f t="shared" si="0"/>
        <v>0</v>
      </c>
      <c r="G49" s="646">
        <f t="shared" si="1"/>
        <v>1</v>
      </c>
      <c r="H49" s="455"/>
      <c r="N49" s="33" t="s">
        <v>1365</v>
      </c>
      <c r="O49" s="33" t="s">
        <v>1366</v>
      </c>
      <c r="P49" s="33" t="s">
        <v>1371</v>
      </c>
    </row>
    <row r="50" spans="2:16" x14ac:dyDescent="0.3">
      <c r="B50" s="635" t="s">
        <v>1279</v>
      </c>
      <c r="C50" s="636" t="s">
        <v>478</v>
      </c>
      <c r="D50" s="637">
        <f>'[3]Waveney and Blyth'!$I$53</f>
        <v>1849</v>
      </c>
      <c r="E50" s="637">
        <f>'[2]Waveney &amp; Blyth'!$D50</f>
        <v>0</v>
      </c>
      <c r="F50" s="637">
        <f t="shared" si="0"/>
        <v>1849</v>
      </c>
      <c r="G50" s="638">
        <f t="shared" si="1"/>
        <v>0</v>
      </c>
      <c r="H50" s="455"/>
      <c r="N50" s="33" t="s">
        <v>1365</v>
      </c>
      <c r="O50" s="33" t="s">
        <v>1366</v>
      </c>
      <c r="P50" s="33" t="s">
        <v>1375</v>
      </c>
    </row>
    <row r="51" spans="2:16" x14ac:dyDescent="0.3">
      <c r="B51" s="635" t="s">
        <v>1280</v>
      </c>
      <c r="C51" s="636" t="s">
        <v>479</v>
      </c>
      <c r="D51" s="637">
        <f>'[3]Waveney and Blyth'!$I$54</f>
        <v>2110</v>
      </c>
      <c r="E51" s="637">
        <f>'[2]Waveney &amp; Blyth'!$D51</f>
        <v>0</v>
      </c>
      <c r="F51" s="637">
        <f t="shared" si="0"/>
        <v>2110</v>
      </c>
      <c r="G51" s="638">
        <f t="shared" si="1"/>
        <v>0</v>
      </c>
      <c r="H51" s="455"/>
      <c r="N51" s="33" t="s">
        <v>1365</v>
      </c>
      <c r="O51" s="33" t="s">
        <v>1366</v>
      </c>
      <c r="P51" s="33" t="s">
        <v>1375</v>
      </c>
    </row>
    <row r="52" spans="2:16" x14ac:dyDescent="0.3">
      <c r="B52" s="644" t="s">
        <v>1281</v>
      </c>
      <c r="C52" s="645" t="s">
        <v>480</v>
      </c>
      <c r="D52" s="642">
        <f>'[3]Waveney and Blyth'!$I$55</f>
        <v>1795</v>
      </c>
      <c r="E52" s="642">
        <f>'[2]Waveney &amp; Blyth'!$D52</f>
        <v>1795</v>
      </c>
      <c r="F52" s="642">
        <f t="shared" si="0"/>
        <v>0</v>
      </c>
      <c r="G52" s="646">
        <f t="shared" si="1"/>
        <v>1</v>
      </c>
      <c r="H52" s="455"/>
      <c r="N52" s="33" t="s">
        <v>1365</v>
      </c>
      <c r="O52" s="33" t="s">
        <v>1366</v>
      </c>
      <c r="P52" s="33" t="s">
        <v>1375</v>
      </c>
    </row>
    <row r="53" spans="2:16" x14ac:dyDescent="0.3">
      <c r="B53" s="367" t="s">
        <v>1282</v>
      </c>
      <c r="C53" s="365" t="s">
        <v>481</v>
      </c>
      <c r="D53" s="368">
        <f>'[3]Waveney and Blyth'!$I$56</f>
        <v>1670</v>
      </c>
      <c r="E53" s="368">
        <f>'[2]Waveney &amp; Blyth'!$D53</f>
        <v>300</v>
      </c>
      <c r="F53" s="368">
        <f t="shared" si="0"/>
        <v>1370</v>
      </c>
      <c r="G53" s="366">
        <f t="shared" si="1"/>
        <v>0.17960000000000001</v>
      </c>
      <c r="H53" s="455"/>
      <c r="N53" s="33" t="s">
        <v>1365</v>
      </c>
      <c r="O53" s="33" t="s">
        <v>1366</v>
      </c>
      <c r="P53" s="33" t="s">
        <v>1371</v>
      </c>
    </row>
    <row r="54" spans="2:16" s="32" customFormat="1" x14ac:dyDescent="0.3">
      <c r="B54" s="367" t="s">
        <v>1283</v>
      </c>
      <c r="C54" s="365" t="s">
        <v>482</v>
      </c>
      <c r="D54" s="368">
        <f>'[3]Waveney and Blyth'!$I$57</f>
        <v>1607</v>
      </c>
      <c r="E54" s="368">
        <f>'[2]Waveney &amp; Blyth'!$D54</f>
        <v>1000</v>
      </c>
      <c r="F54" s="368">
        <f t="shared" si="0"/>
        <v>607</v>
      </c>
      <c r="G54" s="366">
        <f t="shared" si="1"/>
        <v>0.62229999999999996</v>
      </c>
      <c r="H54" s="455">
        <f t="shared" si="2"/>
        <v>0.39240000000000003</v>
      </c>
      <c r="N54" s="33"/>
      <c r="O54" s="33"/>
      <c r="P54" s="33"/>
    </row>
    <row r="55" spans="2:16" ht="14.25" customHeight="1" thickBot="1" x14ac:dyDescent="0.35">
      <c r="B55" s="301" t="s">
        <v>1284</v>
      </c>
      <c r="C55" s="302" t="s">
        <v>604</v>
      </c>
      <c r="D55" s="363">
        <f>SUM(D44:D54)</f>
        <v>21458</v>
      </c>
      <c r="E55" s="363">
        <f>SUM(E44:E54)</f>
        <v>8421</v>
      </c>
      <c r="F55" s="363">
        <f t="shared" si="0"/>
        <v>13037</v>
      </c>
      <c r="G55" s="403">
        <f t="shared" si="1"/>
        <v>0.39240000000000003</v>
      </c>
      <c r="H55" s="455"/>
    </row>
    <row r="56" spans="2:16" x14ac:dyDescent="0.3">
      <c r="B56" s="367"/>
      <c r="C56" s="365"/>
      <c r="D56" s="368"/>
      <c r="E56" s="368"/>
      <c r="F56" s="368"/>
      <c r="G56" s="366"/>
      <c r="H56" s="455"/>
      <c r="N56" s="33" t="s">
        <v>1369</v>
      </c>
      <c r="O56" s="33" t="s">
        <v>1366</v>
      </c>
      <c r="P56" s="33" t="s">
        <v>1371</v>
      </c>
    </row>
    <row r="57" spans="2:16" x14ac:dyDescent="0.3">
      <c r="B57" s="644" t="s">
        <v>1285</v>
      </c>
      <c r="C57" s="645" t="s">
        <v>484</v>
      </c>
      <c r="D57" s="642">
        <f>'[3]Waveney and Blyth'!$I$60</f>
        <v>13965</v>
      </c>
      <c r="E57" s="642">
        <f>'[2]Waveney &amp; Blyth'!$D57</f>
        <v>13965</v>
      </c>
      <c r="F57" s="642">
        <f t="shared" si="0"/>
        <v>0</v>
      </c>
      <c r="G57" s="646">
        <f t="shared" si="1"/>
        <v>1</v>
      </c>
      <c r="H57" s="455"/>
      <c r="N57" s="33" t="s">
        <v>1365</v>
      </c>
      <c r="O57" s="33" t="s">
        <v>1366</v>
      </c>
      <c r="P57" s="33" t="s">
        <v>1368</v>
      </c>
    </row>
    <row r="58" spans="2:16" x14ac:dyDescent="0.3">
      <c r="B58" s="644" t="s">
        <v>1286</v>
      </c>
      <c r="C58" s="645" t="s">
        <v>485</v>
      </c>
      <c r="D58" s="642">
        <f>'[3]Waveney and Blyth'!$I$61</f>
        <v>30034</v>
      </c>
      <c r="E58" s="642">
        <f>'[2]Waveney &amp; Blyth'!$D58</f>
        <v>30035</v>
      </c>
      <c r="F58" s="642">
        <f t="shared" si="0"/>
        <v>-1</v>
      </c>
      <c r="G58" s="646">
        <f t="shared" si="1"/>
        <v>1</v>
      </c>
      <c r="H58" s="455"/>
      <c r="N58" s="33" t="s">
        <v>1365</v>
      </c>
      <c r="O58" s="33" t="s">
        <v>1366</v>
      </c>
      <c r="P58" s="33" t="s">
        <v>1371</v>
      </c>
    </row>
    <row r="59" spans="2:16" x14ac:dyDescent="0.3">
      <c r="B59" s="644" t="s">
        <v>1301</v>
      </c>
      <c r="C59" s="645" t="s">
        <v>602</v>
      </c>
      <c r="D59" s="642">
        <f>'[3]Waveney and Blyth'!$I$62</f>
        <v>697</v>
      </c>
      <c r="E59" s="642">
        <f>'[2]Waveney &amp; Blyth'!$D59</f>
        <v>697</v>
      </c>
      <c r="F59" s="642">
        <f t="shared" si="0"/>
        <v>0</v>
      </c>
      <c r="G59" s="646">
        <f t="shared" si="1"/>
        <v>1</v>
      </c>
      <c r="H59" s="455"/>
      <c r="N59" s="33" t="s">
        <v>1365</v>
      </c>
      <c r="O59" s="33" t="s">
        <v>1366</v>
      </c>
      <c r="P59" s="33" t="s">
        <v>1371</v>
      </c>
    </row>
    <row r="60" spans="2:16" x14ac:dyDescent="0.3">
      <c r="B60" s="644" t="s">
        <v>1287</v>
      </c>
      <c r="C60" s="645" t="s">
        <v>486</v>
      </c>
      <c r="D60" s="642">
        <f>'[3]Waveney and Blyth'!$I$63</f>
        <v>2635</v>
      </c>
      <c r="E60" s="642">
        <f>'[2]Waveney &amp; Blyth'!$D60</f>
        <v>2635</v>
      </c>
      <c r="F60" s="642">
        <f t="shared" si="0"/>
        <v>0</v>
      </c>
      <c r="G60" s="646">
        <f t="shared" si="1"/>
        <v>1</v>
      </c>
      <c r="H60" s="455"/>
      <c r="N60" s="33" t="s">
        <v>1369</v>
      </c>
      <c r="O60" s="33" t="s">
        <v>1366</v>
      </c>
      <c r="P60" s="33" t="s">
        <v>1368</v>
      </c>
    </row>
    <row r="61" spans="2:16" x14ac:dyDescent="0.3">
      <c r="B61" s="367" t="s">
        <v>1288</v>
      </c>
      <c r="C61" s="365" t="s">
        <v>487</v>
      </c>
      <c r="D61" s="368">
        <f>'[3]Waveney and Blyth'!$I$64</f>
        <v>59737</v>
      </c>
      <c r="E61" s="368">
        <f>'[2]Waveney &amp; Blyth'!$D61</f>
        <v>45000</v>
      </c>
      <c r="F61" s="368">
        <f t="shared" si="0"/>
        <v>14737</v>
      </c>
      <c r="G61" s="366">
        <f t="shared" si="1"/>
        <v>0.75329999999999997</v>
      </c>
      <c r="H61" s="455"/>
      <c r="N61" s="33" t="s">
        <v>1369</v>
      </c>
      <c r="O61" s="33" t="s">
        <v>1366</v>
      </c>
      <c r="P61" s="33" t="s">
        <v>1371</v>
      </c>
    </row>
    <row r="62" spans="2:16" x14ac:dyDescent="0.3">
      <c r="B62" s="644" t="s">
        <v>1302</v>
      </c>
      <c r="C62" s="645" t="s">
        <v>603</v>
      </c>
      <c r="D62" s="642">
        <f>'[3]Waveney and Blyth'!$I$65</f>
        <v>5243</v>
      </c>
      <c r="E62" s="642">
        <f>'[2]Waveney &amp; Blyth'!$D62</f>
        <v>5243</v>
      </c>
      <c r="F62" s="642">
        <f t="shared" si="0"/>
        <v>0</v>
      </c>
      <c r="G62" s="646">
        <f t="shared" si="1"/>
        <v>1</v>
      </c>
      <c r="H62" s="455"/>
      <c r="N62" s="33" t="s">
        <v>1369</v>
      </c>
      <c r="O62" s="33" t="s">
        <v>1370</v>
      </c>
      <c r="P62" s="33" t="s">
        <v>1367</v>
      </c>
    </row>
    <row r="63" spans="2:16" x14ac:dyDescent="0.3">
      <c r="B63" s="367" t="s">
        <v>1289</v>
      </c>
      <c r="C63" s="365" t="s">
        <v>488</v>
      </c>
      <c r="D63" s="368">
        <f>'[3]Waveney and Blyth'!$I$66</f>
        <v>17295</v>
      </c>
      <c r="E63" s="368">
        <f>'[2]Waveney &amp; Blyth'!$D63</f>
        <v>9000</v>
      </c>
      <c r="F63" s="368">
        <f t="shared" si="0"/>
        <v>8295</v>
      </c>
      <c r="G63" s="366">
        <f t="shared" si="1"/>
        <v>0.52039999999999997</v>
      </c>
      <c r="H63" s="455"/>
      <c r="N63" s="519" t="s">
        <v>1365</v>
      </c>
      <c r="O63" s="519" t="s">
        <v>1366</v>
      </c>
      <c r="P63" s="519"/>
    </row>
    <row r="64" spans="2:16" s="32" customFormat="1" x14ac:dyDescent="0.3">
      <c r="B64" s="367" t="s">
        <v>1290</v>
      </c>
      <c r="C64" s="365" t="s">
        <v>1300</v>
      </c>
      <c r="D64" s="368">
        <f>'[3]Waveney and Blyth'!$I$67</f>
        <v>8405</v>
      </c>
      <c r="E64" s="368">
        <f>'[2]Waveney &amp; Blyth'!$D64</f>
        <v>4500</v>
      </c>
      <c r="F64" s="368">
        <f t="shared" si="0"/>
        <v>3905</v>
      </c>
      <c r="G64" s="366">
        <f t="shared" si="1"/>
        <v>0.53539999999999999</v>
      </c>
      <c r="H64" s="455">
        <f t="shared" si="2"/>
        <v>0.80479999999999996</v>
      </c>
      <c r="N64" s="33"/>
      <c r="O64" s="33"/>
      <c r="P64" s="33"/>
    </row>
    <row r="65" spans="2:16" ht="14.25" customHeight="1" thickBot="1" x14ac:dyDescent="0.35">
      <c r="B65" s="301" t="s">
        <v>1291</v>
      </c>
      <c r="C65" s="302" t="s">
        <v>489</v>
      </c>
      <c r="D65" s="363">
        <f>SUM(D57:D64)</f>
        <v>138011</v>
      </c>
      <c r="E65" s="363">
        <f>SUM(E57:E64)</f>
        <v>111075</v>
      </c>
      <c r="F65" s="363">
        <f t="shared" si="0"/>
        <v>26936</v>
      </c>
      <c r="G65" s="403">
        <f t="shared" si="1"/>
        <v>0.80479999999999996</v>
      </c>
      <c r="H65" s="455"/>
    </row>
    <row r="66" spans="2:16" x14ac:dyDescent="0.3">
      <c r="B66" s="367"/>
      <c r="C66" s="365"/>
      <c r="D66" s="368"/>
      <c r="E66" s="368"/>
      <c r="F66" s="368"/>
      <c r="G66" s="366"/>
      <c r="H66" s="455"/>
    </row>
    <row r="67" spans="2:16" x14ac:dyDescent="0.3">
      <c r="B67" s="635" t="s">
        <v>1292</v>
      </c>
      <c r="C67" s="636" t="s">
        <v>490</v>
      </c>
      <c r="D67" s="637">
        <f>'[3]Waveney and Blyth'!$I$71</f>
        <v>2725</v>
      </c>
      <c r="E67" s="637">
        <f>'[2]Waveney &amp; Blyth'!$D67</f>
        <v>0</v>
      </c>
      <c r="F67" s="637">
        <f t="shared" si="0"/>
        <v>2725</v>
      </c>
      <c r="G67" s="638">
        <f t="shared" si="1"/>
        <v>0</v>
      </c>
      <c r="H67" s="455"/>
      <c r="N67" s="33" t="s">
        <v>1365</v>
      </c>
      <c r="O67" s="33" t="s">
        <v>1366</v>
      </c>
      <c r="P67" s="33" t="s">
        <v>1371</v>
      </c>
    </row>
    <row r="68" spans="2:16" x14ac:dyDescent="0.3">
      <c r="B68" s="367" t="s">
        <v>1293</v>
      </c>
      <c r="C68" s="365" t="s">
        <v>491</v>
      </c>
      <c r="D68" s="368">
        <f>'[3]Waveney and Blyth'!$I$72</f>
        <v>2120</v>
      </c>
      <c r="E68" s="368">
        <f>'[2]Waveney &amp; Blyth'!$D68</f>
        <v>1120</v>
      </c>
      <c r="F68" s="368">
        <f t="shared" si="0"/>
        <v>1000</v>
      </c>
      <c r="G68" s="366">
        <f t="shared" si="1"/>
        <v>0.52829999999999999</v>
      </c>
      <c r="H68" s="455"/>
      <c r="N68" s="33" t="s">
        <v>1369</v>
      </c>
      <c r="O68" s="33" t="s">
        <v>1370</v>
      </c>
      <c r="P68" s="33" t="s">
        <v>1367</v>
      </c>
    </row>
    <row r="69" spans="2:16" x14ac:dyDescent="0.3">
      <c r="B69" s="367" t="s">
        <v>1294</v>
      </c>
      <c r="C69" s="365" t="s">
        <v>492</v>
      </c>
      <c r="D69" s="368">
        <f>'[3]Waveney and Blyth'!$I$73</f>
        <v>1969</v>
      </c>
      <c r="E69" s="368">
        <f>'[2]Waveney &amp; Blyth'!$D69</f>
        <v>800</v>
      </c>
      <c r="F69" s="368">
        <f t="shared" si="0"/>
        <v>1169</v>
      </c>
      <c r="G69" s="366">
        <f t="shared" si="1"/>
        <v>0.40629999999999999</v>
      </c>
      <c r="H69" s="455"/>
      <c r="N69" s="490"/>
      <c r="O69" s="490"/>
      <c r="P69" s="490"/>
    </row>
    <row r="70" spans="2:16" s="490" customFormat="1" x14ac:dyDescent="0.3">
      <c r="B70" s="644" t="s">
        <v>1295</v>
      </c>
      <c r="C70" s="645" t="s">
        <v>493</v>
      </c>
      <c r="D70" s="642">
        <f>'[3]Waveney and Blyth'!$I$74</f>
        <v>2423</v>
      </c>
      <c r="E70" s="642">
        <f>'[2]Waveney &amp; Blyth'!$D70</f>
        <v>2423</v>
      </c>
      <c r="F70" s="642">
        <f t="shared" si="0"/>
        <v>0</v>
      </c>
      <c r="G70" s="646">
        <f t="shared" si="1"/>
        <v>1</v>
      </c>
      <c r="H70" s="493">
        <f t="shared" si="2"/>
        <v>0.47020000000000001</v>
      </c>
      <c r="N70" s="33"/>
      <c r="O70" s="33"/>
      <c r="P70" s="33"/>
    </row>
    <row r="71" spans="2:16" ht="14.25" customHeight="1" thickBot="1" x14ac:dyDescent="0.35">
      <c r="B71" s="472" t="s">
        <v>1296</v>
      </c>
      <c r="C71" s="473" t="s">
        <v>494</v>
      </c>
      <c r="D71" s="474">
        <f>SUM(D67:D70)</f>
        <v>9237</v>
      </c>
      <c r="E71" s="474">
        <f>SUM(E67:E70)</f>
        <v>4343</v>
      </c>
      <c r="F71" s="474">
        <f t="shared" si="0"/>
        <v>4894</v>
      </c>
      <c r="G71" s="403">
        <f t="shared" si="1"/>
        <v>0.47020000000000001</v>
      </c>
      <c r="H71" s="455"/>
    </row>
    <row r="72" spans="2:16" ht="14.25" customHeight="1" x14ac:dyDescent="0.3">
      <c r="B72" s="367"/>
      <c r="C72" s="365"/>
      <c r="D72" s="368"/>
      <c r="E72" s="368"/>
      <c r="F72" s="368"/>
      <c r="G72" s="366"/>
      <c r="H72" s="455"/>
    </row>
    <row r="73" spans="2:16" x14ac:dyDescent="0.3">
      <c r="B73" s="367" t="s">
        <v>1243</v>
      </c>
      <c r="C73" s="365" t="s">
        <v>483</v>
      </c>
      <c r="D73" s="368">
        <f>'[3]Waveney and Blyth'!$I$8</f>
        <v>58691</v>
      </c>
      <c r="E73" s="368">
        <f>'[2]Waveney &amp; Blyth'!$D73</f>
        <v>37500</v>
      </c>
      <c r="F73" s="368">
        <f t="shared" si="0"/>
        <v>21191</v>
      </c>
      <c r="G73" s="366">
        <f t="shared" ref="G73:G75" si="4">ROUND((E73/D73),4)</f>
        <v>0.63890000000000002</v>
      </c>
      <c r="H73" s="455"/>
    </row>
    <row r="74" spans="2:16" x14ac:dyDescent="0.3">
      <c r="B74" s="367" t="s">
        <v>1297</v>
      </c>
      <c r="C74" s="365" t="s">
        <v>495</v>
      </c>
      <c r="D74" s="368">
        <f>'[3]Waveney and Blyth'!$I$9</f>
        <v>5000</v>
      </c>
      <c r="E74" s="368">
        <f>'[2]Waveney &amp; Blyth'!$D74</f>
        <v>1000</v>
      </c>
      <c r="F74" s="368">
        <f t="shared" ref="F74:F75" si="5">D74-E74</f>
        <v>4000</v>
      </c>
      <c r="G74" s="366">
        <f t="shared" si="4"/>
        <v>0.2</v>
      </c>
      <c r="H74" s="455"/>
      <c r="N74" s="32"/>
      <c r="O74" s="32"/>
      <c r="P74" s="32"/>
    </row>
    <row r="75" spans="2:16" s="32" customFormat="1" x14ac:dyDescent="0.3">
      <c r="B75" s="373" t="s">
        <v>1298</v>
      </c>
      <c r="C75" s="384" t="s">
        <v>496</v>
      </c>
      <c r="D75" s="368">
        <f>'[3]Waveney and Blyth'!$I$10</f>
        <v>5000</v>
      </c>
      <c r="E75" s="368">
        <f>'[2]Waveney &amp; Blyth'!$D75</f>
        <v>2000</v>
      </c>
      <c r="F75" s="369">
        <f t="shared" si="5"/>
        <v>3000</v>
      </c>
      <c r="G75" s="366">
        <f t="shared" si="4"/>
        <v>0.4</v>
      </c>
      <c r="H75" s="493">
        <f t="shared" si="2"/>
        <v>0.58960000000000001</v>
      </c>
      <c r="N75" s="33"/>
      <c r="O75" s="33"/>
      <c r="P75" s="33"/>
    </row>
    <row r="76" spans="2:16" s="32" customFormat="1" ht="14.5" thickBot="1" x14ac:dyDescent="0.35">
      <c r="B76" s="442" t="s">
        <v>1299</v>
      </c>
      <c r="C76" s="468" t="s">
        <v>1644</v>
      </c>
      <c r="D76" s="370">
        <f>SUM(D73:D75)</f>
        <v>68691</v>
      </c>
      <c r="E76" s="370">
        <f>SUM(E73:E75)</f>
        <v>40500</v>
      </c>
      <c r="F76" s="370">
        <f>D76-E76</f>
        <v>28191</v>
      </c>
      <c r="G76" s="475">
        <f t="shared" si="1"/>
        <v>0.58960000000000001</v>
      </c>
      <c r="H76" s="493"/>
      <c r="N76" s="33"/>
      <c r="O76" s="33"/>
      <c r="P76" s="33"/>
    </row>
    <row r="77" spans="2:16" s="32" customFormat="1" x14ac:dyDescent="0.3">
      <c r="B77" s="450"/>
      <c r="C77" s="483"/>
      <c r="D77" s="448"/>
      <c r="E77" s="448"/>
      <c r="F77" s="448"/>
      <c r="G77" s="509"/>
      <c r="H77" s="493"/>
      <c r="N77" s="33"/>
      <c r="O77" s="33"/>
      <c r="P77" s="33"/>
    </row>
    <row r="78" spans="2:16" ht="14.25" customHeight="1" x14ac:dyDescent="0.3">
      <c r="B78" s="450"/>
      <c r="C78" s="7" t="s">
        <v>1636</v>
      </c>
      <c r="D78" s="448">
        <f>'[3]Waveney and Blyth'!$I$79</f>
        <v>0</v>
      </c>
      <c r="E78" s="448"/>
      <c r="F78" s="448"/>
      <c r="G78" s="509"/>
      <c r="N78" s="32"/>
      <c r="O78" s="32"/>
      <c r="P78" s="32"/>
    </row>
    <row r="79" spans="2:16" s="32" customFormat="1" ht="15" customHeight="1" x14ac:dyDescent="0.3">
      <c r="B79" s="445"/>
      <c r="C79" s="471"/>
      <c r="D79" s="447"/>
      <c r="E79" s="447"/>
      <c r="F79" s="447"/>
      <c r="G79" s="557"/>
      <c r="N79" s="33"/>
      <c r="O79" s="33"/>
      <c r="P79" s="33"/>
    </row>
    <row r="80" spans="2:16" ht="15" customHeight="1" thickBot="1" x14ac:dyDescent="0.35">
      <c r="B80" s="442"/>
      <c r="C80" s="468" t="s">
        <v>57</v>
      </c>
      <c r="D80" s="370">
        <f>SUM(D76,D71,D65,D55,D42,D30,D19,D25+D78)</f>
        <v>481928</v>
      </c>
      <c r="E80" s="370">
        <f>SUM(E76,E71,E65,E55,E42,E30,E19,E25)</f>
        <v>271603</v>
      </c>
      <c r="F80" s="370">
        <f>SUM(F76,F71,F65,F55,F42,F30,F19,F25)</f>
        <v>210325</v>
      </c>
      <c r="G80" s="469">
        <f t="shared" ref="G80" si="6">ROUND((E80/D80),4)</f>
        <v>0.56359999999999999</v>
      </c>
    </row>
    <row r="81" spans="2:7" x14ac:dyDescent="0.3">
      <c r="B81" s="554"/>
      <c r="C81" s="471"/>
      <c r="D81" s="447"/>
      <c r="E81" s="447"/>
      <c r="F81" s="447"/>
      <c r="G81" s="412"/>
    </row>
    <row r="82" spans="2:7" ht="14.5" thickBot="1" x14ac:dyDescent="0.35">
      <c r="B82" s="442"/>
      <c r="C82" s="468" t="s">
        <v>1657</v>
      </c>
      <c r="D82" s="370">
        <f>[5]Summary!$D$23</f>
        <v>470520</v>
      </c>
      <c r="E82" s="370">
        <f>'[6]Waveney &amp; Blyth'!$D$76</f>
        <v>218133</v>
      </c>
      <c r="F82" s="370">
        <f>D82-E82</f>
        <v>252387</v>
      </c>
      <c r="G82" s="469">
        <f>E82/D82</f>
        <v>0.46359984697781176</v>
      </c>
    </row>
    <row r="84" spans="2:7" x14ac:dyDescent="0.3">
      <c r="D84" s="582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&amp;L&amp;D&amp;R&amp;Z&amp;F</oddFooter>
  </headerFooter>
  <rowBreaks count="1" manualBreakCount="1">
    <brk id="55" min="2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T56"/>
  <sheetViews>
    <sheetView zoomScaleNormal="100" workbookViewId="0">
      <selection activeCell="B39" sqref="B39:G40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41.75" style="33" bestFit="1" customWidth="1"/>
    <col min="4" max="6" width="12" style="33" bestFit="1" customWidth="1"/>
    <col min="7" max="7" width="12.5" style="214" bestFit="1" customWidth="1"/>
    <col min="8" max="10" width="9" style="33" hidden="1" customWidth="1"/>
    <col min="11" max="11" width="20.08203125" style="33" hidden="1" customWidth="1"/>
    <col min="12" max="12" width="9" style="33" hidden="1" customWidth="1"/>
    <col min="13" max="13" width="2.08203125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7" width="9" style="33" customWidth="1"/>
    <col min="18" max="18" width="11.33203125" style="33" customWidth="1"/>
    <col min="19" max="19" width="11.33203125" style="33" bestFit="1" customWidth="1"/>
    <col min="20" max="20" width="9" style="33" customWidth="1"/>
    <col min="21" max="21" width="13.08203125" style="33" customWidth="1"/>
    <col min="22" max="22" width="13.5" style="33" customWidth="1"/>
    <col min="23" max="23" width="12.75" style="33" customWidth="1"/>
    <col min="24" max="24" width="11.25" style="33" customWidth="1"/>
    <col min="25" max="16384" width="8.58203125" style="33"/>
  </cols>
  <sheetData>
    <row r="1" spans="2:16" ht="14.5" thickBot="1" x14ac:dyDescent="0.35">
      <c r="B1" s="210"/>
      <c r="C1" s="210"/>
      <c r="D1" s="210"/>
      <c r="E1" s="210"/>
      <c r="F1" s="210"/>
      <c r="G1" s="211"/>
    </row>
    <row r="2" spans="2:16" s="404" customFormat="1" ht="22.5" customHeight="1" thickBot="1" x14ac:dyDescent="0.5">
      <c r="B2" s="536"/>
      <c r="C2" s="597" t="str">
        <f>Summary!A1</f>
        <v>Parish Share 2022</v>
      </c>
      <c r="D2" s="538"/>
      <c r="E2" s="538"/>
      <c r="F2" s="538"/>
      <c r="G2" s="539"/>
      <c r="N2" s="404" t="s">
        <v>554</v>
      </c>
    </row>
    <row r="3" spans="2:16" ht="14.25" customHeight="1" thickBot="1" x14ac:dyDescent="0.35">
      <c r="B3" s="540"/>
      <c r="C3" s="541"/>
      <c r="D3" s="541"/>
      <c r="E3" s="541"/>
      <c r="F3" s="541"/>
      <c r="G3" s="366"/>
      <c r="J3" s="33" t="s">
        <v>544</v>
      </c>
      <c r="K3" s="33" t="s">
        <v>545</v>
      </c>
      <c r="L3" s="33">
        <f>COUNTIF(H8:H71,"&gt;1")</f>
        <v>0</v>
      </c>
    </row>
    <row r="4" spans="2:16" s="32" customFormat="1" ht="18" thickBot="1" x14ac:dyDescent="0.4">
      <c r="B4" s="542"/>
      <c r="C4" s="598" t="s">
        <v>497</v>
      </c>
      <c r="D4" s="668">
        <f>Period</f>
        <v>44804</v>
      </c>
      <c r="E4" s="668"/>
      <c r="F4" s="544"/>
      <c r="G4" s="441"/>
      <c r="J4" s="33"/>
      <c r="K4" s="33" t="s">
        <v>543</v>
      </c>
      <c r="L4" s="33">
        <f>COUNTIF(H8:H71,1)</f>
        <v>0</v>
      </c>
    </row>
    <row r="5" spans="2:16" s="32" customFormat="1" ht="14.5" thickBot="1" x14ac:dyDescent="0.35">
      <c r="B5" s="540"/>
      <c r="C5" s="541"/>
      <c r="D5" s="541"/>
      <c r="E5" s="541"/>
      <c r="F5" s="541"/>
      <c r="G5" s="366"/>
      <c r="J5" s="33"/>
      <c r="K5" s="33" t="s">
        <v>1538</v>
      </c>
      <c r="L5" s="33">
        <f>COUNTIFS(H8:H71,"&gt;="&amp;Target,H8:H71,"&lt;"&amp;1)</f>
        <v>3</v>
      </c>
    </row>
    <row r="6" spans="2:16" s="32" customFormat="1" ht="14.25" customHeight="1" thickBot="1" x14ac:dyDescent="0.35">
      <c r="B6" s="545" t="s">
        <v>592</v>
      </c>
      <c r="C6" s="546" t="s">
        <v>28</v>
      </c>
      <c r="D6" s="546" t="s">
        <v>1</v>
      </c>
      <c r="E6" s="546" t="s">
        <v>2</v>
      </c>
      <c r="F6" s="546" t="s">
        <v>3</v>
      </c>
      <c r="G6" s="547" t="s">
        <v>4</v>
      </c>
      <c r="H6" s="32" t="s">
        <v>553</v>
      </c>
      <c r="J6" s="33"/>
      <c r="K6" s="33" t="s">
        <v>1539</v>
      </c>
      <c r="L6" s="33">
        <v>3</v>
      </c>
      <c r="N6" s="32" t="s">
        <v>1362</v>
      </c>
      <c r="O6" s="32" t="s">
        <v>1363</v>
      </c>
      <c r="P6" s="32" t="s">
        <v>1364</v>
      </c>
    </row>
    <row r="7" spans="2:16" ht="14.25" customHeight="1" x14ac:dyDescent="0.3">
      <c r="B7" s="429"/>
      <c r="C7" s="459"/>
      <c r="D7" s="459"/>
      <c r="E7" s="459"/>
      <c r="F7" s="459"/>
      <c r="G7" s="461"/>
      <c r="J7" s="32"/>
      <c r="K7" s="33" t="s">
        <v>547</v>
      </c>
      <c r="L7" s="33">
        <v>0</v>
      </c>
    </row>
    <row r="8" spans="2:16" x14ac:dyDescent="0.3">
      <c r="B8" s="367" t="s">
        <v>1305</v>
      </c>
      <c r="C8" s="365" t="s">
        <v>500</v>
      </c>
      <c r="D8" s="368">
        <f>[3]Woodbridge!$I$14</f>
        <v>45396</v>
      </c>
      <c r="E8" s="368">
        <f>[2]Woodbridge!$D8</f>
        <v>28396</v>
      </c>
      <c r="F8" s="368">
        <f t="shared" ref="F8:F51" si="0">D8-E8</f>
        <v>17000</v>
      </c>
      <c r="G8" s="366">
        <f t="shared" ref="G8:G54" si="1">ROUND((E8/D8),4)</f>
        <v>0.62549999999999994</v>
      </c>
      <c r="H8" s="462"/>
      <c r="N8" s="33" t="s">
        <v>1369</v>
      </c>
      <c r="O8" s="33" t="s">
        <v>1370</v>
      </c>
      <c r="P8" s="33" t="s">
        <v>1367</v>
      </c>
    </row>
    <row r="9" spans="2:16" x14ac:dyDescent="0.3">
      <c r="B9" s="639" t="s">
        <v>1306</v>
      </c>
      <c r="C9" s="640" t="s">
        <v>501</v>
      </c>
      <c r="D9" s="641">
        <f>[3]Woodbridge!$I$15</f>
        <v>25000</v>
      </c>
      <c r="E9" s="642">
        <f>[2]Woodbridge!$D9</f>
        <v>25000</v>
      </c>
      <c r="F9" s="641">
        <f t="shared" si="0"/>
        <v>0</v>
      </c>
      <c r="G9" s="643">
        <f t="shared" si="1"/>
        <v>1</v>
      </c>
      <c r="H9" s="462"/>
      <c r="N9" s="33" t="s">
        <v>1365</v>
      </c>
      <c r="O9" s="33" t="s">
        <v>1366</v>
      </c>
      <c r="P9" s="33" t="s">
        <v>1367</v>
      </c>
    </row>
    <row r="10" spans="2:16" x14ac:dyDescent="0.3">
      <c r="B10" s="373"/>
      <c r="C10" s="435" t="s">
        <v>1640</v>
      </c>
      <c r="D10" s="369"/>
      <c r="E10" s="369"/>
      <c r="F10" s="599">
        <f t="shared" si="0"/>
        <v>0</v>
      </c>
      <c r="G10" s="375"/>
      <c r="H10" s="462"/>
    </row>
    <row r="11" spans="2:16" s="32" customFormat="1" ht="14.5" thickBot="1" x14ac:dyDescent="0.35">
      <c r="B11" s="571" t="s">
        <v>1307</v>
      </c>
      <c r="C11" s="600" t="s">
        <v>502</v>
      </c>
      <c r="D11" s="601">
        <f>SUM(D8:D10)</f>
        <v>70396</v>
      </c>
      <c r="E11" s="601">
        <f>SUM(E8:E10)</f>
        <v>53396</v>
      </c>
      <c r="F11" s="363">
        <f t="shared" si="0"/>
        <v>17000</v>
      </c>
      <c r="G11" s="403">
        <f t="shared" si="1"/>
        <v>0.75849999999999995</v>
      </c>
      <c r="H11" s="455">
        <f t="shared" ref="H11:H22" si="2">G11</f>
        <v>0.75849999999999995</v>
      </c>
    </row>
    <row r="12" spans="2:16" ht="14.25" customHeight="1" x14ac:dyDescent="0.3">
      <c r="B12" s="429"/>
      <c r="C12" s="459"/>
      <c r="D12" s="431"/>
      <c r="E12" s="431"/>
      <c r="F12" s="431"/>
      <c r="G12" s="461"/>
      <c r="H12" s="462"/>
    </row>
    <row r="13" spans="2:16" x14ac:dyDescent="0.3">
      <c r="B13" s="367" t="s">
        <v>1308</v>
      </c>
      <c r="C13" s="365" t="s">
        <v>503</v>
      </c>
      <c r="D13" s="368">
        <v>2901</v>
      </c>
      <c r="E13" s="368">
        <f>[2]Woodbridge!$D12</f>
        <v>1937</v>
      </c>
      <c r="F13" s="368">
        <f t="shared" si="0"/>
        <v>964</v>
      </c>
      <c r="G13" s="366">
        <f t="shared" si="1"/>
        <v>0.66769999999999996</v>
      </c>
      <c r="H13" s="462"/>
      <c r="N13" s="33" t="s">
        <v>1369</v>
      </c>
      <c r="O13" s="33" t="s">
        <v>1370</v>
      </c>
      <c r="P13" s="33" t="s">
        <v>1367</v>
      </c>
    </row>
    <row r="14" spans="2:16" x14ac:dyDescent="0.3">
      <c r="B14" s="367" t="s">
        <v>1309</v>
      </c>
      <c r="C14" s="365" t="s">
        <v>504</v>
      </c>
      <c r="D14" s="368">
        <v>2212</v>
      </c>
      <c r="E14" s="368">
        <f>[2]Woodbridge!$D13</f>
        <v>1659</v>
      </c>
      <c r="F14" s="368">
        <f t="shared" si="0"/>
        <v>553</v>
      </c>
      <c r="G14" s="366">
        <f t="shared" si="1"/>
        <v>0.75</v>
      </c>
      <c r="H14" s="462"/>
      <c r="N14" s="33" t="s">
        <v>1365</v>
      </c>
      <c r="O14" s="33" t="s">
        <v>1366</v>
      </c>
      <c r="P14" s="33" t="s">
        <v>1368</v>
      </c>
    </row>
    <row r="15" spans="2:16" x14ac:dyDescent="0.3">
      <c r="B15" s="367" t="s">
        <v>1310</v>
      </c>
      <c r="C15" s="365" t="s">
        <v>505</v>
      </c>
      <c r="D15" s="368">
        <v>6603</v>
      </c>
      <c r="E15" s="368">
        <f>[2]Woodbridge!$D14</f>
        <v>4403</v>
      </c>
      <c r="F15" s="368">
        <f t="shared" si="0"/>
        <v>2200</v>
      </c>
      <c r="G15" s="366">
        <f t="shared" si="1"/>
        <v>0.66679999999999995</v>
      </c>
      <c r="H15" s="462"/>
      <c r="N15" s="33" t="s">
        <v>1369</v>
      </c>
      <c r="O15" s="33" t="s">
        <v>1370</v>
      </c>
      <c r="P15" s="33" t="s">
        <v>1367</v>
      </c>
    </row>
    <row r="16" spans="2:16" x14ac:dyDescent="0.3">
      <c r="B16" s="367" t="s">
        <v>1311</v>
      </c>
      <c r="C16" s="365" t="s">
        <v>506</v>
      </c>
      <c r="D16" s="368">
        <v>2816</v>
      </c>
      <c r="E16" s="368">
        <f>[2]Woodbridge!$D15</f>
        <v>1880</v>
      </c>
      <c r="F16" s="368">
        <f t="shared" si="0"/>
        <v>936</v>
      </c>
      <c r="G16" s="366">
        <f t="shared" si="1"/>
        <v>0.66759999999999997</v>
      </c>
      <c r="H16" s="462"/>
      <c r="N16" s="33" t="s">
        <v>1369</v>
      </c>
      <c r="O16" s="33" t="s">
        <v>1370</v>
      </c>
      <c r="P16" s="33" t="s">
        <v>1367</v>
      </c>
    </row>
    <row r="17" spans="2:20" x14ac:dyDescent="0.3">
      <c r="B17" s="639" t="s">
        <v>1303</v>
      </c>
      <c r="C17" s="640" t="s">
        <v>498</v>
      </c>
      <c r="D17" s="641">
        <v>3598</v>
      </c>
      <c r="E17" s="642">
        <f>[2]Woodbridge!$D16</f>
        <v>3598</v>
      </c>
      <c r="F17" s="641">
        <f t="shared" si="0"/>
        <v>0</v>
      </c>
      <c r="G17" s="643">
        <f t="shared" si="1"/>
        <v>1</v>
      </c>
      <c r="H17" s="462"/>
    </row>
    <row r="18" spans="2:20" x14ac:dyDescent="0.3">
      <c r="B18" s="367" t="s">
        <v>1312</v>
      </c>
      <c r="C18" s="365" t="s">
        <v>507</v>
      </c>
      <c r="D18" s="368">
        <v>27920</v>
      </c>
      <c r="E18" s="368">
        <f>[2]Woodbridge!$D17</f>
        <v>18612</v>
      </c>
      <c r="F18" s="368">
        <f t="shared" si="0"/>
        <v>9308</v>
      </c>
      <c r="G18" s="366">
        <f t="shared" si="1"/>
        <v>0.66659999999999997</v>
      </c>
      <c r="H18" s="462"/>
      <c r="N18" s="33" t="s">
        <v>1369</v>
      </c>
      <c r="O18" s="33" t="s">
        <v>1370</v>
      </c>
      <c r="P18" s="33" t="s">
        <v>1367</v>
      </c>
    </row>
    <row r="19" spans="2:20" x14ac:dyDescent="0.3">
      <c r="B19" s="367" t="s">
        <v>1313</v>
      </c>
      <c r="C19" s="365" t="s">
        <v>508</v>
      </c>
      <c r="D19" s="368">
        <v>17656</v>
      </c>
      <c r="E19" s="368">
        <f>[2]Woodbridge!$D18</f>
        <v>11769</v>
      </c>
      <c r="F19" s="368">
        <f t="shared" si="0"/>
        <v>5887</v>
      </c>
      <c r="G19" s="366">
        <f t="shared" si="1"/>
        <v>0.66659999999999997</v>
      </c>
      <c r="H19" s="462"/>
      <c r="N19" s="33" t="s">
        <v>1372</v>
      </c>
      <c r="O19" s="33" t="s">
        <v>1370</v>
      </c>
      <c r="P19" s="33" t="s">
        <v>1367</v>
      </c>
    </row>
    <row r="20" spans="2:20" x14ac:dyDescent="0.3">
      <c r="B20" s="367" t="s">
        <v>1314</v>
      </c>
      <c r="C20" s="365" t="s">
        <v>509</v>
      </c>
      <c r="D20" s="368">
        <v>5361</v>
      </c>
      <c r="E20" s="368">
        <f>[2]Woodbridge!$D19</f>
        <v>3576</v>
      </c>
      <c r="F20" s="368">
        <f t="shared" si="0"/>
        <v>1785</v>
      </c>
      <c r="G20" s="366">
        <f t="shared" si="1"/>
        <v>0.66700000000000004</v>
      </c>
      <c r="H20" s="462"/>
      <c r="N20" s="33" t="s">
        <v>1369</v>
      </c>
      <c r="O20" s="33" t="s">
        <v>1366</v>
      </c>
      <c r="P20" s="33" t="s">
        <v>1367</v>
      </c>
    </row>
    <row r="21" spans="2:20" x14ac:dyDescent="0.3">
      <c r="B21" s="367" t="s">
        <v>1337</v>
      </c>
      <c r="C21" s="365" t="s">
        <v>510</v>
      </c>
      <c r="D21" s="368">
        <v>2901</v>
      </c>
      <c r="E21" s="368">
        <f>[2]Woodbridge!$D20</f>
        <v>1936</v>
      </c>
      <c r="F21" s="368">
        <f t="shared" si="0"/>
        <v>965</v>
      </c>
      <c r="G21" s="366">
        <f t="shared" si="1"/>
        <v>0.66739999999999999</v>
      </c>
      <c r="H21" s="462"/>
      <c r="N21" s="33" t="s">
        <v>1369</v>
      </c>
      <c r="O21" s="33" t="s">
        <v>1370</v>
      </c>
      <c r="P21" s="33" t="s">
        <v>1367</v>
      </c>
    </row>
    <row r="22" spans="2:20" s="32" customFormat="1" ht="14.5" thickBot="1" x14ac:dyDescent="0.35">
      <c r="B22" s="301" t="s">
        <v>1315</v>
      </c>
      <c r="C22" s="302" t="s">
        <v>511</v>
      </c>
      <c r="D22" s="363">
        <f>SUM(D13:D21)</f>
        <v>71968</v>
      </c>
      <c r="E22" s="363">
        <f>SUM(E13:E21)</f>
        <v>49370</v>
      </c>
      <c r="F22" s="363">
        <f t="shared" si="0"/>
        <v>22598</v>
      </c>
      <c r="G22" s="403">
        <f t="shared" si="1"/>
        <v>0.68600000000000005</v>
      </c>
      <c r="H22" s="455">
        <f t="shared" si="2"/>
        <v>0.68600000000000005</v>
      </c>
      <c r="R22" s="33"/>
      <c r="S22" s="33"/>
      <c r="T22" s="33"/>
    </row>
    <row r="23" spans="2:20" ht="14.25" customHeight="1" x14ac:dyDescent="0.3">
      <c r="B23" s="429"/>
      <c r="C23" s="459"/>
      <c r="D23" s="431"/>
      <c r="E23" s="431"/>
      <c r="F23" s="431"/>
      <c r="G23" s="461"/>
      <c r="H23" s="462"/>
    </row>
    <row r="24" spans="2:20" x14ac:dyDescent="0.3">
      <c r="B24" s="367" t="s">
        <v>1316</v>
      </c>
      <c r="C24" s="365" t="s">
        <v>512</v>
      </c>
      <c r="D24" s="368">
        <f>[3]Woodbridge!$I$30</f>
        <v>13047</v>
      </c>
      <c r="E24" s="368">
        <f>[2]Woodbridge!$D23</f>
        <v>9489</v>
      </c>
      <c r="F24" s="368">
        <f t="shared" ref="F24:F43" si="3">D24-E24</f>
        <v>3558</v>
      </c>
      <c r="G24" s="366">
        <f t="shared" ref="G24:G44" si="4">ROUND((E24/D24),4)</f>
        <v>0.72729999999999995</v>
      </c>
      <c r="H24" s="462"/>
      <c r="N24" s="33" t="s">
        <v>1369</v>
      </c>
      <c r="O24" s="33" t="s">
        <v>1370</v>
      </c>
      <c r="P24" s="33" t="s">
        <v>1367</v>
      </c>
    </row>
    <row r="25" spans="2:20" x14ac:dyDescent="0.3">
      <c r="B25" s="367" t="s">
        <v>1317</v>
      </c>
      <c r="C25" s="365" t="s">
        <v>513</v>
      </c>
      <c r="D25" s="368">
        <f>[3]Woodbridge!$I$31</f>
        <v>3799</v>
      </c>
      <c r="E25" s="368">
        <f>[2]Woodbridge!$D24</f>
        <v>2000</v>
      </c>
      <c r="F25" s="368">
        <f t="shared" si="3"/>
        <v>1799</v>
      </c>
      <c r="G25" s="366">
        <f t="shared" si="4"/>
        <v>0.52649999999999997</v>
      </c>
      <c r="H25" s="462"/>
      <c r="N25" s="33" t="s">
        <v>1369</v>
      </c>
      <c r="O25" s="33" t="s">
        <v>1366</v>
      </c>
      <c r="P25" s="33" t="s">
        <v>1371</v>
      </c>
    </row>
    <row r="26" spans="2:20" x14ac:dyDescent="0.3">
      <c r="B26" s="635" t="s">
        <v>1318</v>
      </c>
      <c r="C26" s="636" t="s">
        <v>514</v>
      </c>
      <c r="D26" s="637">
        <f>[3]Woodbridge!$I$32</f>
        <v>3000</v>
      </c>
      <c r="E26" s="637">
        <f>[2]Woodbridge!$D25</f>
        <v>0</v>
      </c>
      <c r="F26" s="637">
        <f t="shared" si="3"/>
        <v>3000</v>
      </c>
      <c r="G26" s="638">
        <f t="shared" si="4"/>
        <v>0</v>
      </c>
      <c r="H26" s="462"/>
    </row>
    <row r="27" spans="2:20" x14ac:dyDescent="0.3">
      <c r="B27" s="367" t="s">
        <v>1319</v>
      </c>
      <c r="C27" s="365" t="s">
        <v>515</v>
      </c>
      <c r="D27" s="368">
        <f>[3]Woodbridge!$I$33</f>
        <v>9900</v>
      </c>
      <c r="E27" s="368">
        <f>[2]Woodbridge!$D26</f>
        <v>6930</v>
      </c>
      <c r="F27" s="368">
        <f t="shared" si="3"/>
        <v>2970</v>
      </c>
      <c r="G27" s="366">
        <f t="shared" si="4"/>
        <v>0.7</v>
      </c>
      <c r="H27" s="462"/>
      <c r="N27" s="33" t="s">
        <v>1369</v>
      </c>
      <c r="O27" s="33" t="s">
        <v>1370</v>
      </c>
      <c r="P27" s="33" t="s">
        <v>1367</v>
      </c>
    </row>
    <row r="28" spans="2:20" x14ac:dyDescent="0.3">
      <c r="B28" s="367" t="s">
        <v>1320</v>
      </c>
      <c r="C28" s="365" t="s">
        <v>516</v>
      </c>
      <c r="D28" s="368">
        <f>[3]Woodbridge!$I$34</f>
        <v>4900</v>
      </c>
      <c r="E28" s="368">
        <f>[2]Woodbridge!$D27</f>
        <v>3200</v>
      </c>
      <c r="F28" s="368">
        <f t="shared" si="3"/>
        <v>1700</v>
      </c>
      <c r="G28" s="366">
        <f t="shared" si="4"/>
        <v>0.65310000000000001</v>
      </c>
      <c r="H28" s="462"/>
      <c r="N28" s="33" t="s">
        <v>1365</v>
      </c>
      <c r="O28" s="33" t="s">
        <v>1366</v>
      </c>
      <c r="P28" s="33" t="s">
        <v>1368</v>
      </c>
    </row>
    <row r="29" spans="2:20" x14ac:dyDescent="0.3">
      <c r="B29" s="367" t="s">
        <v>1321</v>
      </c>
      <c r="C29" s="365" t="s">
        <v>517</v>
      </c>
      <c r="D29" s="368">
        <f>[3]Woodbridge!$I$35</f>
        <v>4700</v>
      </c>
      <c r="E29" s="368">
        <f>[2]Woodbridge!$D28</f>
        <v>4000</v>
      </c>
      <c r="F29" s="368">
        <f t="shared" si="3"/>
        <v>700</v>
      </c>
      <c r="G29" s="366">
        <f t="shared" si="4"/>
        <v>0.85109999999999997</v>
      </c>
      <c r="H29" s="462"/>
      <c r="N29" s="33" t="s">
        <v>1365</v>
      </c>
      <c r="O29" s="33" t="s">
        <v>1366</v>
      </c>
      <c r="P29" s="33" t="s">
        <v>1371</v>
      </c>
    </row>
    <row r="30" spans="2:20" x14ac:dyDescent="0.3">
      <c r="B30" s="367" t="s">
        <v>1322</v>
      </c>
      <c r="C30" s="365" t="s">
        <v>537</v>
      </c>
      <c r="D30" s="368">
        <f>[3]Woodbridge!$I$36</f>
        <v>12900</v>
      </c>
      <c r="E30" s="368">
        <f>[2]Woodbridge!$D29</f>
        <v>8000</v>
      </c>
      <c r="F30" s="368">
        <f t="shared" si="3"/>
        <v>4900</v>
      </c>
      <c r="G30" s="366">
        <f t="shared" si="4"/>
        <v>0.62019999999999997</v>
      </c>
      <c r="H30" s="462"/>
      <c r="N30" s="33" t="s">
        <v>1365</v>
      </c>
      <c r="O30" s="33" t="s">
        <v>1366</v>
      </c>
      <c r="P30" s="33" t="s">
        <v>1375</v>
      </c>
    </row>
    <row r="31" spans="2:20" x14ac:dyDescent="0.3">
      <c r="B31" s="367" t="s">
        <v>1323</v>
      </c>
      <c r="C31" s="365" t="s">
        <v>518</v>
      </c>
      <c r="D31" s="368">
        <f>[3]Woodbridge!$I$37</f>
        <v>10560</v>
      </c>
      <c r="E31" s="368">
        <f>[2]Woodbridge!$D30</f>
        <v>7000</v>
      </c>
      <c r="F31" s="368">
        <f t="shared" si="3"/>
        <v>3560</v>
      </c>
      <c r="G31" s="366">
        <f t="shared" si="4"/>
        <v>0.66290000000000004</v>
      </c>
      <c r="H31" s="462"/>
      <c r="N31" s="33" t="s">
        <v>1365</v>
      </c>
      <c r="O31" s="33" t="s">
        <v>1366</v>
      </c>
      <c r="P31" s="33" t="s">
        <v>1375</v>
      </c>
    </row>
    <row r="32" spans="2:20" x14ac:dyDescent="0.3">
      <c r="B32" s="367" t="s">
        <v>1324</v>
      </c>
      <c r="C32" s="365" t="s">
        <v>519</v>
      </c>
      <c r="D32" s="368">
        <f>[3]Woodbridge!$I$38</f>
        <v>5000</v>
      </c>
      <c r="E32" s="368">
        <f>[2]Woodbridge!$D31</f>
        <v>3328</v>
      </c>
      <c r="F32" s="368">
        <f t="shared" si="3"/>
        <v>1672</v>
      </c>
      <c r="G32" s="366">
        <f t="shared" si="4"/>
        <v>0.66559999999999997</v>
      </c>
      <c r="H32" s="462"/>
      <c r="N32" s="33" t="s">
        <v>1369</v>
      </c>
      <c r="O32" s="33" t="s">
        <v>1370</v>
      </c>
      <c r="P32" s="33" t="s">
        <v>1367</v>
      </c>
    </row>
    <row r="33" spans="2:20" x14ac:dyDescent="0.3">
      <c r="B33" s="367" t="s">
        <v>1325</v>
      </c>
      <c r="C33" s="365" t="s">
        <v>520</v>
      </c>
      <c r="D33" s="368">
        <f>[3]Woodbridge!$I$39</f>
        <v>21600</v>
      </c>
      <c r="E33" s="368">
        <f>[2]Woodbridge!$D32</f>
        <v>14400</v>
      </c>
      <c r="F33" s="368">
        <f t="shared" si="3"/>
        <v>7200</v>
      </c>
      <c r="G33" s="366">
        <f t="shared" si="4"/>
        <v>0.66669999999999996</v>
      </c>
      <c r="H33" s="462"/>
      <c r="N33" s="33" t="s">
        <v>1369</v>
      </c>
      <c r="O33" s="33" t="s">
        <v>1366</v>
      </c>
      <c r="P33" s="33" t="s">
        <v>1367</v>
      </c>
    </row>
    <row r="34" spans="2:20" x14ac:dyDescent="0.3">
      <c r="B34" s="639" t="s">
        <v>1326</v>
      </c>
      <c r="C34" s="640" t="s">
        <v>521</v>
      </c>
      <c r="D34" s="641">
        <f>[3]Woodbridge!$I$40</f>
        <v>5000</v>
      </c>
      <c r="E34" s="642">
        <f>[2]Woodbridge!$D33</f>
        <v>5000</v>
      </c>
      <c r="F34" s="641">
        <f t="shared" si="3"/>
        <v>0</v>
      </c>
      <c r="G34" s="643">
        <f t="shared" si="4"/>
        <v>1</v>
      </c>
      <c r="H34" s="462"/>
      <c r="N34" s="33" t="s">
        <v>1365</v>
      </c>
      <c r="O34" s="33" t="s">
        <v>1366</v>
      </c>
      <c r="P34" s="33" t="s">
        <v>1371</v>
      </c>
    </row>
    <row r="35" spans="2:20" x14ac:dyDescent="0.3">
      <c r="B35" s="367" t="s">
        <v>1327</v>
      </c>
      <c r="C35" s="365" t="s">
        <v>522</v>
      </c>
      <c r="D35" s="368">
        <f>[3]Woodbridge!$I$41</f>
        <v>16000</v>
      </c>
      <c r="E35" s="368">
        <f>[2]Woodbridge!$D34</f>
        <v>8000</v>
      </c>
      <c r="F35" s="368">
        <f t="shared" si="3"/>
        <v>8000</v>
      </c>
      <c r="G35" s="366">
        <f t="shared" si="4"/>
        <v>0.5</v>
      </c>
      <c r="H35" s="462"/>
      <c r="N35" s="33" t="s">
        <v>1365</v>
      </c>
      <c r="O35" s="33" t="s">
        <v>1366</v>
      </c>
      <c r="P35" s="33" t="s">
        <v>1368</v>
      </c>
    </row>
    <row r="36" spans="2:20" x14ac:dyDescent="0.3">
      <c r="B36" s="367" t="s">
        <v>1328</v>
      </c>
      <c r="C36" s="365" t="s">
        <v>523</v>
      </c>
      <c r="D36" s="368">
        <f>[3]Woodbridge!$I$42</f>
        <v>3799</v>
      </c>
      <c r="E36" s="368">
        <f>[2]Woodbridge!$D35</f>
        <v>800</v>
      </c>
      <c r="F36" s="368">
        <f t="shared" si="3"/>
        <v>2999</v>
      </c>
      <c r="G36" s="366">
        <f t="shared" si="4"/>
        <v>0.21060000000000001</v>
      </c>
      <c r="H36" s="462"/>
      <c r="N36" s="33" t="s">
        <v>1369</v>
      </c>
      <c r="O36" s="33" t="s">
        <v>1370</v>
      </c>
      <c r="P36" s="33" t="s">
        <v>1367</v>
      </c>
    </row>
    <row r="37" spans="2:20" x14ac:dyDescent="0.3">
      <c r="B37" s="367" t="s">
        <v>1329</v>
      </c>
      <c r="C37" s="365" t="s">
        <v>524</v>
      </c>
      <c r="D37" s="368">
        <f>[3]Woodbridge!$I$43</f>
        <v>9000</v>
      </c>
      <c r="E37" s="368">
        <f>[2]Woodbridge!$D36</f>
        <v>6000</v>
      </c>
      <c r="F37" s="368">
        <f t="shared" si="3"/>
        <v>3000</v>
      </c>
      <c r="G37" s="366">
        <f t="shared" si="4"/>
        <v>0.66669999999999996</v>
      </c>
      <c r="H37" s="462"/>
      <c r="N37" s="33" t="s">
        <v>1369</v>
      </c>
      <c r="O37" s="33" t="s">
        <v>1370</v>
      </c>
      <c r="P37" s="33" t="s">
        <v>1367</v>
      </c>
    </row>
    <row r="38" spans="2:20" x14ac:dyDescent="0.3">
      <c r="B38" s="367" t="s">
        <v>1330</v>
      </c>
      <c r="C38" s="365" t="s">
        <v>526</v>
      </c>
      <c r="D38" s="368">
        <f>[3]Woodbridge!$I$44</f>
        <v>10000</v>
      </c>
      <c r="E38" s="368">
        <f>[2]Woodbridge!$D37</f>
        <v>6000</v>
      </c>
      <c r="F38" s="368">
        <f t="shared" si="3"/>
        <v>4000</v>
      </c>
      <c r="G38" s="366">
        <f t="shared" si="4"/>
        <v>0.6</v>
      </c>
      <c r="H38" s="462"/>
      <c r="N38" s="33" t="s">
        <v>1365</v>
      </c>
      <c r="O38" s="33" t="s">
        <v>1366</v>
      </c>
      <c r="P38" s="33" t="s">
        <v>1368</v>
      </c>
    </row>
    <row r="39" spans="2:20" x14ac:dyDescent="0.3">
      <c r="B39" s="635" t="s">
        <v>1331</v>
      </c>
      <c r="C39" s="636" t="s">
        <v>525</v>
      </c>
      <c r="D39" s="637">
        <f>[3]Woodbridge!$I$45</f>
        <v>5300</v>
      </c>
      <c r="E39" s="637">
        <f>[2]Woodbridge!$D38</f>
        <v>0</v>
      </c>
      <c r="F39" s="637">
        <f t="shared" si="3"/>
        <v>5300</v>
      </c>
      <c r="G39" s="638">
        <f t="shared" si="4"/>
        <v>0</v>
      </c>
      <c r="H39" s="462"/>
      <c r="N39" s="33" t="s">
        <v>1369</v>
      </c>
      <c r="O39" s="33" t="s">
        <v>1370</v>
      </c>
      <c r="P39" s="33" t="s">
        <v>1367</v>
      </c>
    </row>
    <row r="40" spans="2:20" x14ac:dyDescent="0.3">
      <c r="B40" s="635" t="s">
        <v>1599</v>
      </c>
      <c r="C40" s="636" t="s">
        <v>1598</v>
      </c>
      <c r="D40" s="637">
        <f>[3]Woodbridge!$I$46</f>
        <v>600</v>
      </c>
      <c r="E40" s="637">
        <f>[2]Woodbridge!$D39</f>
        <v>0</v>
      </c>
      <c r="F40" s="637">
        <f t="shared" si="3"/>
        <v>600</v>
      </c>
      <c r="G40" s="638">
        <f t="shared" si="4"/>
        <v>0</v>
      </c>
      <c r="H40" s="462"/>
    </row>
    <row r="41" spans="2:20" x14ac:dyDescent="0.3">
      <c r="B41" s="367"/>
      <c r="C41" s="365" t="s">
        <v>1641</v>
      </c>
      <c r="D41" s="368">
        <f>[3]Woodbridge!$I$47</f>
        <v>0</v>
      </c>
      <c r="E41" s="368">
        <f>[2]Woodbridge!$D40</f>
        <v>0</v>
      </c>
      <c r="F41" s="368">
        <f t="shared" si="3"/>
        <v>0</v>
      </c>
      <c r="G41" s="366"/>
      <c r="H41" s="462"/>
    </row>
    <row r="42" spans="2:20" s="32" customFormat="1" x14ac:dyDescent="0.3">
      <c r="B42" s="367"/>
      <c r="C42" s="7" t="s">
        <v>1658</v>
      </c>
      <c r="D42" s="368">
        <f>[3]Woodbridge!$I$48</f>
        <v>-317</v>
      </c>
      <c r="E42" s="368">
        <v>0</v>
      </c>
      <c r="F42" s="368">
        <f t="shared" si="3"/>
        <v>-317</v>
      </c>
      <c r="G42" s="366">
        <f t="shared" si="4"/>
        <v>0</v>
      </c>
      <c r="H42" s="455">
        <f>G44</f>
        <v>0.49809999999999999</v>
      </c>
      <c r="R42" s="33"/>
      <c r="S42" s="33"/>
      <c r="T42" s="33"/>
    </row>
    <row r="43" spans="2:20" ht="14.25" customHeight="1" x14ac:dyDescent="0.3">
      <c r="B43" s="373"/>
      <c r="C43" s="384" t="s">
        <v>1659</v>
      </c>
      <c r="D43" s="369">
        <f>[3]Woodbridge!$I$49</f>
        <v>30156</v>
      </c>
      <c r="E43" s="369">
        <f>[2]Woodbridge!$D42</f>
        <v>0</v>
      </c>
      <c r="F43" s="369">
        <f t="shared" si="3"/>
        <v>30156</v>
      </c>
      <c r="G43" s="456">
        <f t="shared" si="4"/>
        <v>0</v>
      </c>
      <c r="H43" s="462"/>
    </row>
    <row r="44" spans="2:20" ht="14.5" thickBot="1" x14ac:dyDescent="0.35">
      <c r="B44" s="571" t="s">
        <v>1332</v>
      </c>
      <c r="C44" s="600" t="s">
        <v>527</v>
      </c>
      <c r="D44" s="601">
        <f>SUM(D24:D43)</f>
        <v>168944</v>
      </c>
      <c r="E44" s="601">
        <f>SUM(E24:E43)</f>
        <v>84147</v>
      </c>
      <c r="F44" s="601">
        <f>SUM(F24:F41)</f>
        <v>54958</v>
      </c>
      <c r="G44" s="612">
        <f t="shared" si="4"/>
        <v>0.49809999999999999</v>
      </c>
      <c r="H44" s="462"/>
      <c r="N44" s="33" t="s">
        <v>1365</v>
      </c>
      <c r="O44" s="33" t="s">
        <v>1366</v>
      </c>
      <c r="P44" s="33" t="s">
        <v>1368</v>
      </c>
    </row>
    <row r="45" spans="2:20" x14ac:dyDescent="0.3">
      <c r="B45" s="429"/>
      <c r="C45" s="459"/>
      <c r="D45" s="431"/>
      <c r="E45" s="431"/>
      <c r="F45" s="431"/>
      <c r="G45" s="461"/>
      <c r="H45" s="462"/>
      <c r="N45" s="33" t="s">
        <v>1369</v>
      </c>
      <c r="O45" s="33" t="s">
        <v>1370</v>
      </c>
      <c r="P45" s="33" t="s">
        <v>1367</v>
      </c>
    </row>
    <row r="46" spans="2:20" s="32" customFormat="1" x14ac:dyDescent="0.3">
      <c r="B46" s="367" t="s">
        <v>1333</v>
      </c>
      <c r="C46" s="365" t="s">
        <v>528</v>
      </c>
      <c r="D46" s="368">
        <f>[3]Woodbridge!$I$52</f>
        <v>12163</v>
      </c>
      <c r="E46" s="368">
        <f>[2]Woodbridge!$D$43</f>
        <v>6081</v>
      </c>
      <c r="F46" s="368">
        <f t="shared" si="0"/>
        <v>6082</v>
      </c>
      <c r="G46" s="366">
        <f t="shared" si="1"/>
        <v>0.5</v>
      </c>
      <c r="H46" s="455">
        <f>G48</f>
        <v>0.64349999999999996</v>
      </c>
      <c r="R46" s="33"/>
      <c r="S46" s="33"/>
      <c r="T46" s="33"/>
    </row>
    <row r="47" spans="2:20" ht="14.25" customHeight="1" x14ac:dyDescent="0.3">
      <c r="B47" s="367" t="s">
        <v>1334</v>
      </c>
      <c r="C47" s="365" t="s">
        <v>529</v>
      </c>
      <c r="D47" s="368">
        <f>[3]Woodbridge!$I$53</f>
        <v>75426</v>
      </c>
      <c r="E47" s="368">
        <f>[2]Woodbridge!$D$44</f>
        <v>50286</v>
      </c>
      <c r="F47" s="368">
        <f t="shared" si="0"/>
        <v>25140</v>
      </c>
      <c r="G47" s="366">
        <f t="shared" si="1"/>
        <v>0.66669999999999996</v>
      </c>
      <c r="H47" s="462"/>
    </row>
    <row r="48" spans="2:20" ht="14.25" customHeight="1" thickBot="1" x14ac:dyDescent="0.35">
      <c r="B48" s="301" t="s">
        <v>1335</v>
      </c>
      <c r="C48" s="302" t="s">
        <v>530</v>
      </c>
      <c r="D48" s="363">
        <f>SUM(D46:D47)</f>
        <v>87589</v>
      </c>
      <c r="E48" s="363">
        <f>SUM(E46:E47)</f>
        <v>56367</v>
      </c>
      <c r="F48" s="363">
        <f t="shared" si="0"/>
        <v>31222</v>
      </c>
      <c r="G48" s="403">
        <f t="shared" si="1"/>
        <v>0.64349999999999996</v>
      </c>
      <c r="H48" s="462"/>
    </row>
    <row r="49" spans="2:16" ht="14.25" customHeight="1" x14ac:dyDescent="0.3">
      <c r="B49" s="602"/>
      <c r="C49" s="603"/>
      <c r="D49" s="604"/>
      <c r="E49" s="604"/>
      <c r="F49" s="605"/>
      <c r="G49" s="366"/>
      <c r="H49" s="462"/>
    </row>
    <row r="50" spans="2:16" s="32" customFormat="1" x14ac:dyDescent="0.3">
      <c r="B50" s="410" t="s">
        <v>1336</v>
      </c>
      <c r="C50" s="606" t="s">
        <v>531</v>
      </c>
      <c r="D50" s="368">
        <f>[3]Woodbridge!$I$56</f>
        <v>74330</v>
      </c>
      <c r="E50" s="368">
        <f>[2]Woodbridge!$D$47</f>
        <v>54560</v>
      </c>
      <c r="F50" s="368">
        <f t="shared" si="0"/>
        <v>19770</v>
      </c>
      <c r="G50" s="366">
        <f t="shared" si="1"/>
        <v>0.73399999999999999</v>
      </c>
      <c r="H50" s="455">
        <f>G52</f>
        <v>0.66679999999999995</v>
      </c>
      <c r="N50" s="33" t="s">
        <v>1369</v>
      </c>
      <c r="O50" s="33" t="s">
        <v>1370</v>
      </c>
      <c r="P50" s="33" t="s">
        <v>1367</v>
      </c>
    </row>
    <row r="51" spans="2:16" ht="14.25" customHeight="1" x14ac:dyDescent="0.3">
      <c r="B51" s="596" t="s">
        <v>1304</v>
      </c>
      <c r="C51" s="607" t="s">
        <v>499</v>
      </c>
      <c r="D51" s="368">
        <f>[3]Woodbridge!$I$57</f>
        <v>0</v>
      </c>
      <c r="E51" s="368">
        <f>[4]Woodbridge!$D$48</f>
        <v>-5000</v>
      </c>
      <c r="F51" s="368">
        <f t="shared" si="0"/>
        <v>5000</v>
      </c>
      <c r="G51" s="366"/>
    </row>
    <row r="52" spans="2:16" s="32" customFormat="1" ht="14.5" thickBot="1" x14ac:dyDescent="0.35">
      <c r="B52" s="301" t="s">
        <v>1336</v>
      </c>
      <c r="C52" s="302" t="s">
        <v>531</v>
      </c>
      <c r="D52" s="363">
        <f>SUM(D50:D51)</f>
        <v>74330</v>
      </c>
      <c r="E52" s="363">
        <f>SUM(E50:E51)</f>
        <v>49560</v>
      </c>
      <c r="F52" s="363">
        <f t="shared" ref="F52" si="5">D52-E52</f>
        <v>24770</v>
      </c>
      <c r="G52" s="403">
        <f t="shared" ref="G52" si="6">ROUND((E52/D52),4)</f>
        <v>0.66679999999999995</v>
      </c>
    </row>
    <row r="53" spans="2:16" ht="14.25" customHeight="1" x14ac:dyDescent="0.3">
      <c r="B53" s="445"/>
      <c r="C53" s="471"/>
      <c r="D53" s="447"/>
      <c r="E53" s="447"/>
      <c r="F53" s="447"/>
      <c r="G53" s="557"/>
    </row>
    <row r="54" spans="2:16" ht="14.5" thickBot="1" x14ac:dyDescent="0.35">
      <c r="B54" s="442"/>
      <c r="C54" s="468" t="s">
        <v>57</v>
      </c>
      <c r="D54" s="370">
        <f>SUM(D52,D48,D44,D22,D11)</f>
        <v>473227</v>
      </c>
      <c r="E54" s="370">
        <f>SUM(E52,E48,E44,E22,E11)</f>
        <v>292840</v>
      </c>
      <c r="F54" s="370">
        <f>SUM(F52,F48,F44,F22,F11)</f>
        <v>150548</v>
      </c>
      <c r="G54" s="403">
        <f t="shared" si="1"/>
        <v>0.61880000000000002</v>
      </c>
    </row>
    <row r="55" spans="2:16" x14ac:dyDescent="0.3">
      <c r="B55" s="445"/>
      <c r="C55" s="471"/>
      <c r="D55" s="447"/>
      <c r="E55" s="447"/>
      <c r="F55" s="447"/>
      <c r="G55" s="412"/>
    </row>
    <row r="56" spans="2:16" ht="14.5" thickBot="1" x14ac:dyDescent="0.35">
      <c r="B56" s="442"/>
      <c r="C56" s="468" t="s">
        <v>1657</v>
      </c>
      <c r="D56" s="370">
        <f>[5]Summary!$D$24</f>
        <v>468206</v>
      </c>
      <c r="E56" s="370">
        <f>[6]Woodbridge!$D$51</f>
        <v>315085</v>
      </c>
      <c r="F56" s="370">
        <f>D56-E56</f>
        <v>153121</v>
      </c>
      <c r="G56" s="469">
        <f>E56/D56</f>
        <v>0.67296232854769056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9"/>
  <sheetViews>
    <sheetView topLeftCell="A11" zoomScaleNormal="100" workbookViewId="0">
      <selection activeCell="D21" sqref="D21"/>
    </sheetView>
  </sheetViews>
  <sheetFormatPr defaultRowHeight="14" x14ac:dyDescent="0.3"/>
  <cols>
    <col min="1" max="1" width="22.33203125" customWidth="1"/>
    <col min="2" max="2" width="21.83203125" customWidth="1"/>
    <col min="3" max="3" width="13.25" bestFit="1" customWidth="1"/>
    <col min="4" max="4" width="22" customWidth="1"/>
    <col min="5" max="5" width="18" customWidth="1"/>
    <col min="6" max="6" width="19" customWidth="1"/>
    <col min="7" max="7" width="17.33203125" style="7" customWidth="1"/>
    <col min="8" max="8" width="24.5" style="7" customWidth="1"/>
    <col min="9" max="9" width="19.33203125" customWidth="1"/>
    <col min="10" max="10" width="21.83203125" customWidth="1"/>
  </cols>
  <sheetData>
    <row r="1" spans="1:5" s="7" customFormat="1" x14ac:dyDescent="0.3"/>
    <row r="2" spans="1:5" ht="14.25" customHeight="1" x14ac:dyDescent="0.3">
      <c r="A2" s="665" t="s">
        <v>559</v>
      </c>
      <c r="B2" s="665"/>
    </row>
    <row r="3" spans="1:5" s="7" customFormat="1" ht="21" customHeight="1" x14ac:dyDescent="0.3">
      <c r="A3" s="3"/>
    </row>
    <row r="4" spans="1:5" ht="21" customHeight="1" x14ac:dyDescent="0.3">
      <c r="A4" s="666" t="s">
        <v>555</v>
      </c>
      <c r="B4" s="666" t="s">
        <v>557</v>
      </c>
      <c r="C4" s="666" t="s">
        <v>2</v>
      </c>
      <c r="D4" s="666" t="s">
        <v>556</v>
      </c>
      <c r="E4" s="666" t="s">
        <v>558</v>
      </c>
    </row>
    <row r="5" spans="1:5" ht="21" customHeight="1" x14ac:dyDescent="0.3">
      <c r="A5" s="666"/>
      <c r="B5" s="666"/>
      <c r="C5" s="666"/>
      <c r="D5" s="666"/>
      <c r="E5" s="666"/>
    </row>
    <row r="6" spans="1:5" ht="21" customHeight="1" x14ac:dyDescent="0.3">
      <c r="A6" s="666"/>
      <c r="B6" s="666"/>
      <c r="C6" s="666"/>
      <c r="D6" s="666"/>
      <c r="E6" s="666"/>
    </row>
    <row r="7" spans="1:5" ht="21" customHeight="1" x14ac:dyDescent="0.3">
      <c r="A7" s="29">
        <v>2014</v>
      </c>
      <c r="B7" s="10">
        <v>6524474</v>
      </c>
      <c r="C7" s="190">
        <v>5087244.7700000005</v>
      </c>
      <c r="D7" s="11">
        <f>C7/B7</f>
        <v>0.77971722624689754</v>
      </c>
      <c r="E7" s="12"/>
    </row>
    <row r="8" spans="1:5" ht="21" customHeight="1" x14ac:dyDescent="0.3">
      <c r="A8" s="29">
        <v>2015</v>
      </c>
      <c r="B8" s="10">
        <v>6733593</v>
      </c>
      <c r="C8" s="190">
        <v>5263651.43</v>
      </c>
      <c r="D8" s="11">
        <f t="shared" ref="D8:D10" si="0">C8/B8</f>
        <v>0.78170026462840858</v>
      </c>
      <c r="E8" s="10">
        <f>C8-C7</f>
        <v>176406.65999999922</v>
      </c>
    </row>
    <row r="9" spans="1:5" ht="21" customHeight="1" x14ac:dyDescent="0.3">
      <c r="A9" s="29">
        <v>2016</v>
      </c>
      <c r="B9" s="10">
        <v>6930735</v>
      </c>
      <c r="C9" s="190">
        <v>5575516.790000001</v>
      </c>
      <c r="D9" s="11">
        <f t="shared" si="0"/>
        <v>0.80446255555868185</v>
      </c>
      <c r="E9" s="10">
        <f>C9-C8</f>
        <v>311865.36000000127</v>
      </c>
    </row>
    <row r="10" spans="1:5" ht="21" customHeight="1" x14ac:dyDescent="0.3">
      <c r="A10" s="29">
        <v>2017</v>
      </c>
      <c r="B10" s="10">
        <v>6961327</v>
      </c>
      <c r="C10" s="10">
        <v>5547290.8200000003</v>
      </c>
      <c r="D10" s="11">
        <f t="shared" si="0"/>
        <v>0.79687261063874748</v>
      </c>
      <c r="E10" s="10">
        <f>C10-C9</f>
        <v>-28225.970000000671</v>
      </c>
    </row>
    <row r="11" spans="1:5" s="7" customFormat="1" ht="21" customHeight="1" x14ac:dyDescent="0.3">
      <c r="A11" s="29">
        <v>2018</v>
      </c>
      <c r="B11" s="10">
        <v>7103355</v>
      </c>
      <c r="C11" s="10">
        <v>5578813</v>
      </c>
      <c r="D11" s="11">
        <f t="shared" ref="D11" si="1">C11/B11</f>
        <v>0.78537719148205321</v>
      </c>
      <c r="E11" s="10">
        <f>C11-C10</f>
        <v>31522.179999999702</v>
      </c>
    </row>
    <row r="12" spans="1:5" s="7" customFormat="1" ht="21" customHeight="1" x14ac:dyDescent="0.3">
      <c r="A12" s="36">
        <v>2019</v>
      </c>
      <c r="B12" s="10">
        <v>7194477</v>
      </c>
      <c r="C12" s="10">
        <f>Summary!E35</f>
        <v>3569654</v>
      </c>
      <c r="D12" s="11">
        <f t="shared" ref="D12" si="2">C12/B12</f>
        <v>0.49616587835363152</v>
      </c>
      <c r="E12" s="10">
        <f>C12-C11</f>
        <v>-2009159</v>
      </c>
    </row>
    <row r="13" spans="1:5" ht="21" customHeight="1" x14ac:dyDescent="0.3">
      <c r="A13" s="8"/>
      <c r="B13" s="8"/>
      <c r="C13" s="8"/>
      <c r="D13" s="6"/>
    </row>
    <row r="14" spans="1:5" ht="21" customHeight="1" x14ac:dyDescent="0.3">
      <c r="A14" s="13"/>
      <c r="B14" s="9"/>
      <c r="C14" s="9"/>
      <c r="D14" s="9"/>
    </row>
    <row r="15" spans="1:5" ht="14.25" customHeight="1" x14ac:dyDescent="0.3">
      <c r="A15" s="70" t="s">
        <v>1533</v>
      </c>
      <c r="B15" s="70" t="s">
        <v>1534</v>
      </c>
      <c r="C15" s="664" t="s">
        <v>1600</v>
      </c>
      <c r="D15" s="664"/>
      <c r="E15" s="664"/>
    </row>
    <row r="16" spans="1:5" s="7" customFormat="1" ht="14.25" customHeight="1" x14ac:dyDescent="0.3">
      <c r="A16" s="5"/>
      <c r="B16" s="5"/>
      <c r="C16" s="5"/>
    </row>
    <row r="17" spans="1:10" s="7" customFormat="1" ht="14.25" customHeight="1" thickBot="1" x14ac:dyDescent="0.35">
      <c r="A17" s="5"/>
      <c r="B17" s="5"/>
      <c r="C17" s="5"/>
    </row>
    <row r="18" spans="1:10" s="7" customFormat="1" ht="14.25" customHeight="1" x14ac:dyDescent="0.3">
      <c r="A18" s="73"/>
      <c r="B18" s="74" t="s">
        <v>1535</v>
      </c>
      <c r="C18" s="74" t="s">
        <v>1536</v>
      </c>
      <c r="D18" s="74" t="s">
        <v>1540</v>
      </c>
      <c r="E18" s="74" t="s">
        <v>1541</v>
      </c>
      <c r="F18" s="74" t="s">
        <v>1532</v>
      </c>
      <c r="G18" s="75" t="s">
        <v>1537</v>
      </c>
      <c r="H18" s="71"/>
    </row>
    <row r="19" spans="1:10" s="7" customFormat="1" ht="14.25" customHeight="1" x14ac:dyDescent="0.3">
      <c r="A19" s="76" t="s">
        <v>14</v>
      </c>
      <c r="B19" s="67"/>
      <c r="C19" s="67"/>
      <c r="D19" s="67"/>
      <c r="E19" s="67"/>
      <c r="F19" s="67"/>
      <c r="G19" s="77"/>
    </row>
    <row r="20" spans="1:10" ht="14.25" customHeight="1" x14ac:dyDescent="0.3">
      <c r="A20" s="68"/>
      <c r="B20" s="67"/>
      <c r="C20" s="78"/>
      <c r="D20" s="67"/>
      <c r="E20" s="67"/>
      <c r="F20" s="67"/>
      <c r="G20" s="77"/>
    </row>
    <row r="21" spans="1:10" ht="14.25" customHeight="1" x14ac:dyDescent="0.3">
      <c r="A21" s="82" t="s">
        <v>5</v>
      </c>
      <c r="B21" s="83" t="e">
        <f>#REF!</f>
        <v>#REF!</v>
      </c>
      <c r="C21" s="83" t="e">
        <f>#REF!</f>
        <v>#REF!</v>
      </c>
      <c r="D21" s="83" t="e">
        <f>#REF!</f>
        <v>#REF!</v>
      </c>
      <c r="E21" s="83" t="e">
        <f>#REF!</f>
        <v>#REF!</v>
      </c>
      <c r="F21" s="83" t="e">
        <f>#REF!</f>
        <v>#REF!</v>
      </c>
      <c r="G21" s="98" t="e">
        <f>SUM(B21:F21)</f>
        <v>#REF!</v>
      </c>
      <c r="H21" s="72"/>
      <c r="I21" s="72"/>
      <c r="J21" s="72"/>
    </row>
    <row r="22" spans="1:10" ht="14.25" customHeight="1" x14ac:dyDescent="0.3">
      <c r="A22" s="82" t="s">
        <v>6</v>
      </c>
      <c r="B22" s="83">
        <f>Clare!L3</f>
        <v>0</v>
      </c>
      <c r="C22" s="85">
        <f>Clare!L4</f>
        <v>0</v>
      </c>
      <c r="D22" s="85">
        <f>Clare!L5</f>
        <v>1</v>
      </c>
      <c r="E22" s="83">
        <f>Clare!L6</f>
        <v>4</v>
      </c>
      <c r="F22" s="83">
        <f>Clare!L7</f>
        <v>0</v>
      </c>
      <c r="G22" s="98">
        <f t="shared" ref="G22:G29" si="3">SUM(B22:F22)</f>
        <v>5</v>
      </c>
      <c r="H22" s="72"/>
      <c r="I22" s="72"/>
      <c r="J22" s="72"/>
    </row>
    <row r="23" spans="1:10" ht="14.25" customHeight="1" x14ac:dyDescent="0.3">
      <c r="A23" s="82" t="s">
        <v>7</v>
      </c>
      <c r="B23" s="83">
        <f>Hadleigh!L3</f>
        <v>0</v>
      </c>
      <c r="C23" s="85">
        <f>Hadleigh!L4</f>
        <v>1</v>
      </c>
      <c r="D23" s="85">
        <f>Hadleigh!L5</f>
        <v>0</v>
      </c>
      <c r="E23" s="83">
        <f>Hadleigh!L6</f>
        <v>4</v>
      </c>
      <c r="F23" s="83">
        <f>Hadleigh!L7</f>
        <v>0</v>
      </c>
      <c r="G23" s="98">
        <f t="shared" si="3"/>
        <v>5</v>
      </c>
      <c r="H23" s="72"/>
      <c r="I23" s="72"/>
      <c r="J23" s="72"/>
    </row>
    <row r="24" spans="1:10" x14ac:dyDescent="0.3">
      <c r="A24" s="82" t="s">
        <v>8</v>
      </c>
      <c r="B24" s="83">
        <f>Ixworth!L3</f>
        <v>0</v>
      </c>
      <c r="C24" s="85">
        <f>Ixworth!L4</f>
        <v>0</v>
      </c>
      <c r="D24" s="85">
        <f>Ixworth!L5</f>
        <v>1</v>
      </c>
      <c r="E24" s="83">
        <f>Ixworth!L6</f>
        <v>3</v>
      </c>
      <c r="F24" s="83">
        <f>Ixworth!L7</f>
        <v>0</v>
      </c>
      <c r="G24" s="98">
        <f t="shared" si="3"/>
        <v>4</v>
      </c>
      <c r="H24" s="72"/>
      <c r="I24" s="72"/>
      <c r="J24" s="72"/>
    </row>
    <row r="25" spans="1:10" x14ac:dyDescent="0.3">
      <c r="A25" s="82" t="s">
        <v>9</v>
      </c>
      <c r="B25" s="85">
        <f>Lavenham!L3</f>
        <v>0</v>
      </c>
      <c r="C25" s="85">
        <f>Lavenham!L4</f>
        <v>0</v>
      </c>
      <c r="D25" s="85">
        <f>Lavenham!L5</f>
        <v>2</v>
      </c>
      <c r="E25" s="83">
        <f>Lavenham!L6</f>
        <v>6</v>
      </c>
      <c r="F25" s="83">
        <f>Lavenham!L7</f>
        <v>0</v>
      </c>
      <c r="G25" s="98">
        <f t="shared" si="3"/>
        <v>8</v>
      </c>
      <c r="H25" s="72"/>
      <c r="I25" s="72"/>
      <c r="J25" s="72"/>
    </row>
    <row r="26" spans="1:10" s="7" customFormat="1" x14ac:dyDescent="0.3">
      <c r="A26" s="84" t="s">
        <v>10</v>
      </c>
      <c r="B26" s="85">
        <f>Mildenhall!L3</f>
        <v>0</v>
      </c>
      <c r="C26" s="85">
        <f>Mildenhall!L4</f>
        <v>0</v>
      </c>
      <c r="D26" s="85">
        <f>Mildenhall!L5</f>
        <v>0</v>
      </c>
      <c r="E26" s="83">
        <f>Mildenhall!L6</f>
        <v>4</v>
      </c>
      <c r="F26" s="83">
        <f>Mildenhall!L7</f>
        <v>0</v>
      </c>
      <c r="G26" s="98">
        <f t="shared" si="3"/>
        <v>4</v>
      </c>
      <c r="H26" s="72"/>
      <c r="I26" s="72"/>
      <c r="J26" s="72"/>
    </row>
    <row r="27" spans="1:10" x14ac:dyDescent="0.3">
      <c r="A27" s="84" t="s">
        <v>11</v>
      </c>
      <c r="B27" s="85" t="e">
        <f>#REF!</f>
        <v>#REF!</v>
      </c>
      <c r="C27" s="85" t="e">
        <f>#REF!</f>
        <v>#REF!</v>
      </c>
      <c r="D27" s="85" t="e">
        <f>#REF!</f>
        <v>#REF!</v>
      </c>
      <c r="E27" s="83">
        <v>1</v>
      </c>
      <c r="F27" s="83" t="e">
        <f>#REF!</f>
        <v>#REF!</v>
      </c>
      <c r="G27" s="98" t="e">
        <f t="shared" si="3"/>
        <v>#REF!</v>
      </c>
      <c r="H27" s="72"/>
      <c r="I27" s="72"/>
      <c r="J27" s="72"/>
    </row>
    <row r="28" spans="1:10" x14ac:dyDescent="0.3">
      <c r="A28" s="82" t="s">
        <v>12</v>
      </c>
      <c r="B28" s="83">
        <f>Sudbury!L3</f>
        <v>0</v>
      </c>
      <c r="C28" s="83">
        <f>Sudbury!L4</f>
        <v>0</v>
      </c>
      <c r="D28" s="83">
        <f>Sudbury!L5</f>
        <v>3</v>
      </c>
      <c r="E28" s="83">
        <f>Sudbury!L6</f>
        <v>5</v>
      </c>
      <c r="F28" s="83">
        <f>Sudbury!L7</f>
        <v>0</v>
      </c>
      <c r="G28" s="98">
        <f t="shared" si="3"/>
        <v>8</v>
      </c>
      <c r="H28" s="72"/>
      <c r="I28" s="72"/>
      <c r="J28" s="72"/>
    </row>
    <row r="29" spans="1:10" x14ac:dyDescent="0.3">
      <c r="A29" s="82" t="s">
        <v>13</v>
      </c>
      <c r="B29" s="83">
        <f>Thingoe!L3</f>
        <v>0</v>
      </c>
      <c r="C29" s="83">
        <f>Thingoe!L4</f>
        <v>0</v>
      </c>
      <c r="D29" s="83">
        <f>Thingoe!L5</f>
        <v>3</v>
      </c>
      <c r="E29" s="83">
        <f>Thingoe!L6</f>
        <v>3</v>
      </c>
      <c r="F29" s="83">
        <f>Thingoe!L7</f>
        <v>0</v>
      </c>
      <c r="G29" s="98">
        <f t="shared" si="3"/>
        <v>6</v>
      </c>
      <c r="H29" s="72"/>
      <c r="I29" s="72"/>
      <c r="J29" s="72"/>
    </row>
    <row r="30" spans="1:10" s="7" customFormat="1" x14ac:dyDescent="0.3">
      <c r="A30" s="79"/>
      <c r="B30" s="80"/>
      <c r="C30" s="80"/>
      <c r="D30" s="80"/>
      <c r="E30" s="80"/>
      <c r="F30" s="80"/>
      <c r="G30" s="81"/>
      <c r="H30" s="72"/>
      <c r="I30" s="72"/>
      <c r="J30" s="72"/>
    </row>
    <row r="31" spans="1:10" s="7" customFormat="1" ht="14.5" thickBot="1" x14ac:dyDescent="0.35">
      <c r="A31" s="87" t="s">
        <v>1537</v>
      </c>
      <c r="B31" s="88" t="e">
        <f>SUM(B21:B29)</f>
        <v>#REF!</v>
      </c>
      <c r="C31" s="88" t="e">
        <f t="shared" ref="C31:G31" si="4">SUM(C21:C29)</f>
        <v>#REF!</v>
      </c>
      <c r="D31" s="88" t="e">
        <f t="shared" si="4"/>
        <v>#REF!</v>
      </c>
      <c r="E31" s="88" t="e">
        <f t="shared" si="4"/>
        <v>#REF!</v>
      </c>
      <c r="F31" s="88" t="e">
        <f t="shared" si="4"/>
        <v>#REF!</v>
      </c>
      <c r="G31" s="89" t="e">
        <f t="shared" si="4"/>
        <v>#REF!</v>
      </c>
      <c r="H31" s="72"/>
      <c r="I31" s="72"/>
      <c r="J31" s="72"/>
    </row>
    <row r="32" spans="1:10" s="7" customFormat="1" x14ac:dyDescent="0.3">
      <c r="A32" s="80"/>
      <c r="B32" s="80"/>
      <c r="C32" s="99" t="e">
        <f>C31/G31</f>
        <v>#REF!</v>
      </c>
      <c r="D32" s="99" t="e">
        <f>D31/G31</f>
        <v>#REF!</v>
      </c>
      <c r="E32" s="99" t="e">
        <f>E31/G31</f>
        <v>#REF!</v>
      </c>
      <c r="F32" s="99">
        <v>0</v>
      </c>
      <c r="G32" s="80"/>
      <c r="H32" s="72"/>
      <c r="I32" s="72"/>
      <c r="J32" s="72"/>
    </row>
    <row r="33" spans="1:10" s="7" customFormat="1" ht="14.5" thickBot="1" x14ac:dyDescent="0.35">
      <c r="A33" s="72"/>
      <c r="B33" s="72"/>
      <c r="C33" s="72"/>
      <c r="D33" s="72"/>
      <c r="E33" s="72"/>
      <c r="F33" s="72"/>
      <c r="G33" s="72"/>
      <c r="H33" s="72"/>
      <c r="I33" s="72"/>
      <c r="J33" s="72"/>
    </row>
    <row r="34" spans="1:10" x14ac:dyDescent="0.3">
      <c r="A34" s="90"/>
      <c r="B34" s="74" t="s">
        <v>1535</v>
      </c>
      <c r="C34" s="74" t="s">
        <v>1536</v>
      </c>
      <c r="D34" s="74" t="s">
        <v>1540</v>
      </c>
      <c r="E34" s="74" t="s">
        <v>1541</v>
      </c>
      <c r="F34" s="74" t="s">
        <v>1532</v>
      </c>
      <c r="G34" s="75" t="s">
        <v>1537</v>
      </c>
      <c r="H34" s="72"/>
      <c r="I34" s="72"/>
      <c r="J34" s="72"/>
    </row>
    <row r="35" spans="1:10" s="7" customFormat="1" x14ac:dyDescent="0.3">
      <c r="A35" s="76" t="s">
        <v>24</v>
      </c>
      <c r="B35" s="80"/>
      <c r="C35" s="80"/>
      <c r="D35" s="80"/>
      <c r="E35" s="80"/>
      <c r="F35" s="80"/>
      <c r="G35" s="81"/>
      <c r="H35" s="72"/>
      <c r="I35" s="72"/>
      <c r="J35" s="72"/>
    </row>
    <row r="36" spans="1:10" x14ac:dyDescent="0.3">
      <c r="A36" s="79"/>
      <c r="B36" s="80"/>
      <c r="C36" s="80"/>
      <c r="D36" s="80"/>
      <c r="E36" s="80"/>
      <c r="F36" s="80"/>
      <c r="G36" s="81"/>
      <c r="H36" s="72"/>
      <c r="I36" s="72"/>
      <c r="J36" s="72"/>
    </row>
    <row r="37" spans="1:10" x14ac:dyDescent="0.3">
      <c r="A37" s="79" t="s">
        <v>15</v>
      </c>
      <c r="B37" s="83">
        <f>Colneys!L3</f>
        <v>0</v>
      </c>
      <c r="C37" s="83">
        <f>Colneys!L4</f>
        <v>0</v>
      </c>
      <c r="D37" s="83">
        <f>Colneys!L5</f>
        <v>3</v>
      </c>
      <c r="E37" s="83">
        <f>Colneys!L6</f>
        <v>4</v>
      </c>
      <c r="F37" s="83">
        <f>Colneys!L7</f>
        <v>0</v>
      </c>
      <c r="G37" s="98">
        <f t="shared" ref="G37:G44" si="5">SUM(B37:F37)</f>
        <v>7</v>
      </c>
      <c r="H37" s="72"/>
      <c r="I37" s="72"/>
      <c r="J37" s="72"/>
    </row>
    <row r="38" spans="1:10" x14ac:dyDescent="0.3">
      <c r="A38" s="82" t="s">
        <v>16</v>
      </c>
      <c r="B38" s="83">
        <f>'Hartismere &amp; Hoxne'!L3</f>
        <v>0</v>
      </c>
      <c r="C38" s="83">
        <f>'Hartismere &amp; Hoxne'!L4</f>
        <v>0</v>
      </c>
      <c r="D38" s="83">
        <f>'Hartismere &amp; Hoxne'!L5</f>
        <v>0</v>
      </c>
      <c r="E38" s="83">
        <f>'Hartismere &amp; Hoxne'!L6</f>
        <v>3</v>
      </c>
      <c r="F38" s="83">
        <f>'Hartismere &amp; Hoxne'!L7</f>
        <v>0</v>
      </c>
      <c r="G38" s="98">
        <f t="shared" si="5"/>
        <v>3</v>
      </c>
      <c r="H38" s="72"/>
      <c r="I38" s="72"/>
      <c r="J38" s="72"/>
    </row>
    <row r="39" spans="1:10" x14ac:dyDescent="0.3">
      <c r="A39" s="82" t="s">
        <v>17</v>
      </c>
      <c r="B39" s="83" t="e">
        <f>#REF!</f>
        <v>#REF!</v>
      </c>
      <c r="C39" s="83" t="e">
        <f>#REF!</f>
        <v>#REF!</v>
      </c>
      <c r="D39" s="83" t="e">
        <f>#REF!</f>
        <v>#REF!</v>
      </c>
      <c r="E39" s="83" t="e">
        <f>#REF!</f>
        <v>#REF!</v>
      </c>
      <c r="F39" s="83" t="e">
        <f>#REF!</f>
        <v>#REF!</v>
      </c>
      <c r="G39" s="98" t="e">
        <f t="shared" si="5"/>
        <v>#REF!</v>
      </c>
      <c r="H39" s="72"/>
      <c r="I39" s="72"/>
      <c r="J39" s="72"/>
    </row>
    <row r="40" spans="1:10" x14ac:dyDescent="0.3">
      <c r="A40" s="82" t="s">
        <v>19</v>
      </c>
      <c r="B40" s="83">
        <f>Loes!L3</f>
        <v>0</v>
      </c>
      <c r="C40" s="83">
        <f>Loes!L4</f>
        <v>0</v>
      </c>
      <c r="D40" s="83">
        <f>Loes!L5</f>
        <v>3</v>
      </c>
      <c r="E40" s="83">
        <f>Loes!L6</f>
        <v>3</v>
      </c>
      <c r="F40" s="83">
        <f>Loes!L7</f>
        <v>0</v>
      </c>
      <c r="G40" s="98">
        <f t="shared" si="5"/>
        <v>6</v>
      </c>
      <c r="H40" s="72"/>
      <c r="I40" s="72"/>
      <c r="J40" s="72"/>
    </row>
    <row r="41" spans="1:10" x14ac:dyDescent="0.3">
      <c r="A41" s="82" t="s">
        <v>20</v>
      </c>
      <c r="B41" s="83">
        <f>Samford!L3</f>
        <v>0</v>
      </c>
      <c r="C41" s="83">
        <f>Samford!L4</f>
        <v>0</v>
      </c>
      <c r="D41" s="83">
        <f>Samford!L5</f>
        <v>1</v>
      </c>
      <c r="E41" s="83">
        <f>Samford!L6</f>
        <v>4</v>
      </c>
      <c r="F41" s="83">
        <f>Samford!L7</f>
        <v>0</v>
      </c>
      <c r="G41" s="98">
        <f t="shared" si="5"/>
        <v>5</v>
      </c>
      <c r="H41" s="72"/>
      <c r="I41" s="72"/>
      <c r="J41" s="72"/>
    </row>
    <row r="42" spans="1:10" x14ac:dyDescent="0.3">
      <c r="A42" s="84" t="s">
        <v>21</v>
      </c>
      <c r="B42" s="83">
        <f>Saxmundham!L3</f>
        <v>0</v>
      </c>
      <c r="C42" s="83">
        <f>Saxmundham!L4</f>
        <v>0</v>
      </c>
      <c r="D42" s="83">
        <f>Saxmundham!L5</f>
        <v>1</v>
      </c>
      <c r="E42" s="83">
        <f>Saxmundham!L6</f>
        <v>4</v>
      </c>
      <c r="F42" s="83">
        <f>Saxmundham!L7</f>
        <v>0</v>
      </c>
      <c r="G42" s="98">
        <f t="shared" si="5"/>
        <v>5</v>
      </c>
      <c r="H42" s="72"/>
      <c r="I42" s="72"/>
      <c r="J42" s="72"/>
    </row>
    <row r="43" spans="1:10" x14ac:dyDescent="0.3">
      <c r="A43" s="86" t="s">
        <v>22</v>
      </c>
      <c r="B43" s="83">
        <f>'Waveney &amp; Blyth'!L3</f>
        <v>0</v>
      </c>
      <c r="C43" s="83">
        <f>'Waveney &amp; Blyth'!L4</f>
        <v>0</v>
      </c>
      <c r="D43" s="83">
        <f>'Waveney &amp; Blyth'!L5</f>
        <v>2</v>
      </c>
      <c r="E43" s="83">
        <f>'Waveney &amp; Blyth'!L6</f>
        <v>7</v>
      </c>
      <c r="F43" s="83">
        <f>'Waveney &amp; Blyth'!L7</f>
        <v>0</v>
      </c>
      <c r="G43" s="98">
        <f t="shared" si="5"/>
        <v>9</v>
      </c>
      <c r="H43" s="72"/>
      <c r="I43" s="72"/>
      <c r="J43" s="72"/>
    </row>
    <row r="44" spans="1:10" x14ac:dyDescent="0.3">
      <c r="A44" s="79" t="s">
        <v>23</v>
      </c>
      <c r="B44" s="83">
        <f>Woodbridge!L3</f>
        <v>0</v>
      </c>
      <c r="C44" s="83">
        <f>Woodbridge!L4</f>
        <v>0</v>
      </c>
      <c r="D44" s="83">
        <f>Woodbridge!L5</f>
        <v>3</v>
      </c>
      <c r="E44" s="83">
        <f>Woodbridge!L6</f>
        <v>3</v>
      </c>
      <c r="F44" s="83">
        <f>Woodbridge!L7</f>
        <v>0</v>
      </c>
      <c r="G44" s="98">
        <f t="shared" si="5"/>
        <v>6</v>
      </c>
      <c r="H44" s="72"/>
      <c r="I44" s="72"/>
      <c r="J44" s="72"/>
    </row>
    <row r="45" spans="1:10" s="7" customFormat="1" x14ac:dyDescent="0.3">
      <c r="A45" s="79"/>
      <c r="B45" s="80"/>
      <c r="C45" s="80"/>
      <c r="D45" s="80"/>
      <c r="E45" s="80"/>
      <c r="F45" s="80"/>
      <c r="G45" s="81"/>
      <c r="H45" s="72"/>
      <c r="I45" s="72"/>
      <c r="J45" s="72"/>
    </row>
    <row r="46" spans="1:10" s="7" customFormat="1" ht="14.5" thickBot="1" x14ac:dyDescent="0.35">
      <c r="A46" s="87" t="s">
        <v>1537</v>
      </c>
      <c r="B46" s="88" t="e">
        <f>SUM(B37:B44)</f>
        <v>#REF!</v>
      </c>
      <c r="C46" s="88" t="e">
        <f t="shared" ref="C46:F46" si="6">SUM(C37:C44)</f>
        <v>#REF!</v>
      </c>
      <c r="D46" s="88" t="e">
        <f t="shared" si="6"/>
        <v>#REF!</v>
      </c>
      <c r="E46" s="88" t="e">
        <f t="shared" si="6"/>
        <v>#REF!</v>
      </c>
      <c r="F46" s="88" t="e">
        <f t="shared" si="6"/>
        <v>#REF!</v>
      </c>
      <c r="G46" s="89" t="e">
        <f>SUM(G37:G44)</f>
        <v>#REF!</v>
      </c>
      <c r="H46" s="72"/>
      <c r="I46" s="72"/>
      <c r="J46" s="72"/>
    </row>
    <row r="47" spans="1:10" s="7" customFormat="1" x14ac:dyDescent="0.3">
      <c r="A47" s="80"/>
      <c r="B47" s="80"/>
      <c r="C47" s="99">
        <v>0</v>
      </c>
      <c r="D47" s="99" t="e">
        <f>D46/G46</f>
        <v>#REF!</v>
      </c>
      <c r="E47" s="99" t="e">
        <f>E46/G46</f>
        <v>#REF!</v>
      </c>
      <c r="F47" s="99" t="e">
        <f>F46/G46</f>
        <v>#REF!</v>
      </c>
      <c r="G47" s="80"/>
      <c r="H47" s="72"/>
      <c r="I47" s="72"/>
      <c r="J47" s="72"/>
    </row>
    <row r="48" spans="1:10" s="7" customFormat="1" ht="14.5" thickBot="1" x14ac:dyDescent="0.35">
      <c r="A48" s="72"/>
      <c r="B48" s="72"/>
      <c r="C48" s="72"/>
      <c r="D48" s="72"/>
      <c r="E48" s="72"/>
      <c r="F48" s="72"/>
      <c r="G48" s="72"/>
      <c r="H48" s="72"/>
      <c r="I48" s="72"/>
      <c r="J48" s="72"/>
    </row>
    <row r="49" spans="1:10" x14ac:dyDescent="0.3">
      <c r="A49" s="90"/>
      <c r="B49" s="74" t="s">
        <v>1535</v>
      </c>
      <c r="C49" s="74" t="s">
        <v>1536</v>
      </c>
      <c r="D49" s="74" t="s">
        <v>1540</v>
      </c>
      <c r="E49" s="74" t="s">
        <v>1541</v>
      </c>
      <c r="F49" s="74" t="s">
        <v>1532</v>
      </c>
      <c r="G49" s="75" t="s">
        <v>1537</v>
      </c>
      <c r="H49" s="72"/>
      <c r="I49" s="72"/>
      <c r="J49" s="72"/>
    </row>
    <row r="50" spans="1:10" s="7" customFormat="1" x14ac:dyDescent="0.3">
      <c r="A50" s="76" t="s">
        <v>1455</v>
      </c>
      <c r="B50" s="80"/>
      <c r="C50" s="80"/>
      <c r="D50" s="80"/>
      <c r="E50" s="80"/>
      <c r="F50" s="80"/>
      <c r="G50" s="81"/>
      <c r="H50" s="72"/>
      <c r="I50" s="72"/>
      <c r="J50" s="72"/>
    </row>
    <row r="51" spans="1:10" x14ac:dyDescent="0.3">
      <c r="A51" s="79"/>
      <c r="B51" s="80"/>
      <c r="C51" s="80"/>
      <c r="D51" s="80"/>
      <c r="E51" s="80"/>
      <c r="F51" s="80"/>
      <c r="G51" s="81"/>
      <c r="H51" s="72"/>
      <c r="I51" s="72"/>
      <c r="J51" s="72"/>
    </row>
    <row r="52" spans="1:10" ht="14.5" thickBot="1" x14ac:dyDescent="0.35">
      <c r="A52" s="87" t="s">
        <v>18</v>
      </c>
      <c r="B52" s="88">
        <f>Ipswich!L3</f>
        <v>0</v>
      </c>
      <c r="C52" s="88">
        <f>Ipswich!L4</f>
        <v>0</v>
      </c>
      <c r="D52" s="88">
        <f>Ipswich!L5</f>
        <v>4</v>
      </c>
      <c r="E52" s="88">
        <f>Ipswich!L6</f>
        <v>9</v>
      </c>
      <c r="F52" s="88">
        <f>Ipswich!L7</f>
        <v>0</v>
      </c>
      <c r="G52" s="89">
        <f>SUM(B52:F52)</f>
        <v>13</v>
      </c>
      <c r="H52" s="72"/>
      <c r="I52" s="72"/>
      <c r="J52" s="72"/>
    </row>
    <row r="53" spans="1:10" x14ac:dyDescent="0.3">
      <c r="A53" s="7"/>
      <c r="B53" s="72"/>
      <c r="C53" s="99">
        <f>C52/G52</f>
        <v>0</v>
      </c>
      <c r="D53" s="99">
        <f>D52/G52</f>
        <v>0.30769230769230771</v>
      </c>
      <c r="E53" s="99">
        <f>E52/G52</f>
        <v>0.69230769230769229</v>
      </c>
      <c r="F53" s="99">
        <f>F52/G52</f>
        <v>0</v>
      </c>
      <c r="G53" s="72"/>
      <c r="H53" s="72"/>
      <c r="I53" s="72"/>
      <c r="J53" s="72"/>
    </row>
    <row r="54" spans="1:10" s="7" customFormat="1" ht="14.5" thickBot="1" x14ac:dyDescent="0.35">
      <c r="B54" s="72"/>
      <c r="C54" s="72"/>
      <c r="D54" s="72"/>
      <c r="E54" s="72"/>
      <c r="F54" s="72"/>
      <c r="G54" s="72"/>
      <c r="H54" s="72"/>
      <c r="I54" s="72"/>
      <c r="J54" s="72"/>
    </row>
    <row r="55" spans="1:10" x14ac:dyDescent="0.3">
      <c r="A55" s="91"/>
      <c r="B55" s="74" t="s">
        <v>1535</v>
      </c>
      <c r="C55" s="74" t="s">
        <v>1536</v>
      </c>
      <c r="D55" s="74" t="s">
        <v>1540</v>
      </c>
      <c r="E55" s="74" t="s">
        <v>1541</v>
      </c>
      <c r="F55" s="74" t="s">
        <v>1532</v>
      </c>
      <c r="G55" s="75" t="s">
        <v>1537</v>
      </c>
      <c r="H55" s="72"/>
      <c r="I55" s="72"/>
      <c r="J55" s="72"/>
    </row>
    <row r="56" spans="1:10" ht="14.5" thickBot="1" x14ac:dyDescent="0.35">
      <c r="A56" s="69" t="s">
        <v>1542</v>
      </c>
      <c r="B56" s="88" t="e">
        <f>B52+B46+B31</f>
        <v>#REF!</v>
      </c>
      <c r="C56" s="88" t="e">
        <f t="shared" ref="C56:F56" si="7">C52+C46+C31</f>
        <v>#REF!</v>
      </c>
      <c r="D56" s="88" t="e">
        <f t="shared" si="7"/>
        <v>#REF!</v>
      </c>
      <c r="E56" s="88" t="e">
        <f t="shared" si="7"/>
        <v>#REF!</v>
      </c>
      <c r="F56" s="88" t="e">
        <f t="shared" si="7"/>
        <v>#REF!</v>
      </c>
      <c r="G56" s="89" t="e">
        <f>G52+G46+G31</f>
        <v>#REF!</v>
      </c>
      <c r="H56" s="72"/>
      <c r="I56" s="72"/>
      <c r="J56" s="72"/>
    </row>
    <row r="57" spans="1:10" x14ac:dyDescent="0.3">
      <c r="B57" s="72"/>
      <c r="C57" s="99" t="e">
        <f>C56/G56</f>
        <v>#REF!</v>
      </c>
      <c r="D57" s="99" t="e">
        <f>D56/G56</f>
        <v>#REF!</v>
      </c>
      <c r="E57" s="99" t="e">
        <f>E56/G56</f>
        <v>#REF!</v>
      </c>
      <c r="F57" s="99" t="e">
        <f>F56/G56</f>
        <v>#REF!</v>
      </c>
      <c r="G57" s="72"/>
      <c r="H57" s="72"/>
      <c r="I57" s="72"/>
      <c r="J57" s="72"/>
    </row>
    <row r="58" spans="1:10" x14ac:dyDescent="0.3">
      <c r="B58" s="72"/>
      <c r="C58" s="72"/>
      <c r="D58" s="72"/>
      <c r="E58" s="72"/>
      <c r="F58" s="72"/>
      <c r="G58" s="72"/>
      <c r="H58" s="72"/>
      <c r="I58" s="72"/>
      <c r="J58" s="72"/>
    </row>
    <row r="59" spans="1:10" x14ac:dyDescent="0.3">
      <c r="B59" s="72"/>
      <c r="C59" s="72"/>
      <c r="D59" s="72"/>
      <c r="E59" s="72"/>
      <c r="F59" s="72"/>
      <c r="G59" s="72"/>
      <c r="H59" s="72"/>
      <c r="I59" s="72"/>
      <c r="J59" s="72"/>
    </row>
  </sheetData>
  <mergeCells count="7">
    <mergeCell ref="C15:E15"/>
    <mergeCell ref="A2:B2"/>
    <mergeCell ref="A4:A6"/>
    <mergeCell ref="D4:D6"/>
    <mergeCell ref="E4:E6"/>
    <mergeCell ref="C4:C6"/>
    <mergeCell ref="B4:B6"/>
  </mergeCells>
  <hyperlinks>
    <hyperlink ref="A21" location="Bosmere!A1" tooltip="Bosmere Deanery" display="Bosmere" xr:uid="{00000000-0004-0000-0200-000000000000}"/>
    <hyperlink ref="A22" location="Clare!A1" tooltip="Clare Deanery" display="Clare" xr:uid="{00000000-0004-0000-0200-000001000000}"/>
    <hyperlink ref="A23" location="Hadleigh!A1" tooltip="Hadleigh Deanery" display="Hadleigh" xr:uid="{00000000-0004-0000-0200-000002000000}"/>
    <hyperlink ref="A24" location="Ixworth!A1" tooltip="Ixworth Deanery" display="Ixworth" xr:uid="{00000000-0004-0000-0200-000003000000}"/>
    <hyperlink ref="A25" location="Lavenham!A1" tooltip="Lavenham Deanery" display="Lavenham" xr:uid="{00000000-0004-0000-0200-000004000000}"/>
    <hyperlink ref="A26" location="Mildenhall!A1" tooltip="Mildenhall Deanery" display="Mildenhall" xr:uid="{00000000-0004-0000-0200-000005000000}"/>
    <hyperlink ref="A27" location="Stowmarket!A1" tooltip="Stowmarket Deaney" display="Stowmarket" xr:uid="{00000000-0004-0000-0200-000006000000}"/>
    <hyperlink ref="A28" location="Sudbury!A1" tooltip="Sudbury Deaney" display="Sudbury" xr:uid="{00000000-0004-0000-0200-000007000000}"/>
    <hyperlink ref="A29" location="Thingoe!A1" tooltip="Thingoe Deanery" display="Thingoe" xr:uid="{00000000-0004-0000-0200-000008000000}"/>
    <hyperlink ref="A37" location="Colneys!A1" tooltip="Colneys Deanery" display="Colneys" xr:uid="{00000000-0004-0000-0200-000009000000}"/>
    <hyperlink ref="A38" location="Hartismere!A1" tooltip="Hartismere Deanery" display="Hartismere" xr:uid="{00000000-0004-0000-0200-00000A000000}"/>
    <hyperlink ref="A39" location="Hoxne!A1" tooltip="Hoxne Deanery" display="Hoxne" xr:uid="{00000000-0004-0000-0200-00000B000000}"/>
    <hyperlink ref="A52" location="Ipswich!A1" tooltip="Ipswich Deanery" display="Ipswich" xr:uid="{00000000-0004-0000-0200-00000C000000}"/>
    <hyperlink ref="A40" location="Loes!A1" tooltip="Loes Deanery" display="Loes" xr:uid="{00000000-0004-0000-0200-00000D000000}"/>
    <hyperlink ref="A41" location="Samford!A1" tooltip="Samford Deanery" display="Samford" xr:uid="{00000000-0004-0000-0200-00000E000000}"/>
    <hyperlink ref="A42" location="Saxmundham!A1" tooltip="Saxmundham Deanery" display="Saxmundham" xr:uid="{00000000-0004-0000-0200-00000F000000}"/>
    <hyperlink ref="A43" location="'Waveney &amp; Blyth'!A1" tooltip="Waveney &amp; Blyth Deanery" display="Waveney &amp; Blyth" xr:uid="{00000000-0004-0000-0200-000010000000}"/>
    <hyperlink ref="A44" location="Woodbridge!A1" tooltip="Woodbridge Deanery" display="Woodbridge" xr:uid="{00000000-0004-0000-0200-000011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3"/>
  <sheetViews>
    <sheetView workbookViewId="0">
      <pane xSplit="1" topLeftCell="B1" activePane="topRight" state="frozen"/>
      <selection activeCell="C450" sqref="C450"/>
      <selection pane="topRight" activeCell="K32" sqref="K32"/>
    </sheetView>
  </sheetViews>
  <sheetFormatPr defaultColWidth="9" defaultRowHeight="14" x14ac:dyDescent="0.3"/>
  <cols>
    <col min="1" max="1" width="11.83203125" style="7" bestFit="1" customWidth="1"/>
    <col min="2" max="2" width="14.5" style="7" bestFit="1" customWidth="1"/>
    <col min="3" max="15" width="12.75" style="7" bestFit="1" customWidth="1"/>
    <col min="16" max="16384" width="9" style="7"/>
  </cols>
  <sheetData>
    <row r="2" spans="1:15" ht="14.5" x14ac:dyDescent="0.35">
      <c r="A2" s="14" t="s">
        <v>555</v>
      </c>
      <c r="B2" s="14" t="s">
        <v>560</v>
      </c>
      <c r="C2" s="14" t="s">
        <v>561</v>
      </c>
      <c r="D2" s="14" t="s">
        <v>562</v>
      </c>
      <c r="E2" s="14" t="s">
        <v>563</v>
      </c>
      <c r="F2" s="14" t="s">
        <v>564</v>
      </c>
      <c r="G2" s="14" t="s">
        <v>565</v>
      </c>
      <c r="H2" s="14" t="s">
        <v>566</v>
      </c>
      <c r="I2" s="14" t="s">
        <v>567</v>
      </c>
      <c r="J2" s="14" t="s">
        <v>568</v>
      </c>
      <c r="K2" s="14" t="s">
        <v>569</v>
      </c>
      <c r="L2" s="14" t="s">
        <v>570</v>
      </c>
      <c r="M2" s="14" t="s">
        <v>571</v>
      </c>
      <c r="N2" s="14" t="s">
        <v>572</v>
      </c>
    </row>
    <row r="3" spans="1:15" ht="14.5" x14ac:dyDescent="0.35">
      <c r="A3" s="15">
        <v>2009</v>
      </c>
      <c r="B3" s="16">
        <v>171090.61</v>
      </c>
      <c r="C3" s="16">
        <v>356715.07</v>
      </c>
      <c r="D3" s="16">
        <v>493709.97</v>
      </c>
      <c r="E3" s="16">
        <v>496105.85</v>
      </c>
      <c r="F3" s="16">
        <v>459614.77</v>
      </c>
      <c r="G3" s="16">
        <v>521515.02</v>
      </c>
      <c r="H3" s="16">
        <v>576133.15</v>
      </c>
      <c r="I3" s="16">
        <v>415315.07</v>
      </c>
      <c r="J3" s="16">
        <v>542342.63</v>
      </c>
      <c r="K3" s="16">
        <v>562594.99</v>
      </c>
      <c r="L3" s="16">
        <v>554462.55000000005</v>
      </c>
      <c r="M3" s="16">
        <v>602274.98</v>
      </c>
      <c r="N3" s="16">
        <v>325498.99</v>
      </c>
    </row>
    <row r="4" spans="1:15" ht="14.5" x14ac:dyDescent="0.35">
      <c r="A4" s="15">
        <v>2010</v>
      </c>
      <c r="B4" s="16">
        <v>200377.24</v>
      </c>
      <c r="C4" s="16">
        <v>381421.02</v>
      </c>
      <c r="D4" s="16">
        <v>548790.94999999995</v>
      </c>
      <c r="E4" s="16">
        <v>560542.47</v>
      </c>
      <c r="F4" s="16">
        <v>425201.94</v>
      </c>
      <c r="G4" s="16">
        <v>558557.47</v>
      </c>
      <c r="H4" s="16">
        <v>547573.43999999994</v>
      </c>
      <c r="I4" s="16">
        <v>470898.26</v>
      </c>
      <c r="J4" s="16">
        <v>520325.08</v>
      </c>
      <c r="K4" s="16">
        <v>489696.81</v>
      </c>
      <c r="L4" s="16">
        <v>529353.07999999996</v>
      </c>
      <c r="M4" s="16">
        <v>607645.56000000006</v>
      </c>
      <c r="N4" s="16">
        <v>342990.33</v>
      </c>
    </row>
    <row r="5" spans="1:15" ht="14.5" x14ac:dyDescent="0.35">
      <c r="A5" s="15">
        <v>2011</v>
      </c>
      <c r="B5" s="16">
        <v>214028.17</v>
      </c>
      <c r="C5" s="16">
        <v>353604.45</v>
      </c>
      <c r="D5" s="16">
        <v>604066.51</v>
      </c>
      <c r="E5" s="16">
        <v>521441.45</v>
      </c>
      <c r="F5" s="16">
        <v>473383.64</v>
      </c>
      <c r="G5" s="16">
        <v>547641.31000000006</v>
      </c>
      <c r="H5" s="16">
        <v>522301.99</v>
      </c>
      <c r="I5" s="16">
        <v>512018.5</v>
      </c>
      <c r="J5" s="16">
        <v>579492.09</v>
      </c>
      <c r="K5" s="16">
        <v>513961.86</v>
      </c>
      <c r="L5" s="16">
        <v>559638.91</v>
      </c>
      <c r="M5" s="16">
        <v>569758.31000000006</v>
      </c>
      <c r="N5" s="16">
        <v>322172.07</v>
      </c>
    </row>
    <row r="6" spans="1:15" ht="14.5" x14ac:dyDescent="0.35">
      <c r="A6" s="15">
        <v>2012</v>
      </c>
      <c r="B6" s="16">
        <v>225738.64</v>
      </c>
      <c r="C6" s="16">
        <v>434714.69</v>
      </c>
      <c r="D6" s="16">
        <v>518008.8</v>
      </c>
      <c r="E6" s="16">
        <v>520306.43</v>
      </c>
      <c r="F6" s="16">
        <v>510322.36</v>
      </c>
      <c r="G6" s="16">
        <v>470604.2</v>
      </c>
      <c r="H6" s="16">
        <v>621374.75</v>
      </c>
      <c r="I6" s="16">
        <v>468596.58</v>
      </c>
      <c r="J6" s="16">
        <v>486542.74</v>
      </c>
      <c r="K6" s="16">
        <v>568742.07999999996</v>
      </c>
      <c r="L6" s="16">
        <v>528959.61</v>
      </c>
      <c r="M6" s="16">
        <v>502084.59</v>
      </c>
      <c r="N6" s="16">
        <v>280874.59999999998</v>
      </c>
    </row>
    <row r="7" spans="1:15" ht="14.5" x14ac:dyDescent="0.35">
      <c r="A7" s="15">
        <v>2013</v>
      </c>
      <c r="B7" s="16">
        <v>256706</v>
      </c>
      <c r="C7" s="16">
        <v>386375.48</v>
      </c>
      <c r="D7" s="16">
        <v>453077.26</v>
      </c>
      <c r="E7" s="16">
        <v>589515.02</v>
      </c>
      <c r="F7" s="16">
        <v>446298.01</v>
      </c>
      <c r="G7" s="16">
        <v>543434.07999999996</v>
      </c>
      <c r="H7" s="16">
        <v>587550.93000000005</v>
      </c>
      <c r="I7" s="16">
        <v>474639.97</v>
      </c>
      <c r="J7" s="16">
        <v>527919.1</v>
      </c>
      <c r="K7" s="16">
        <v>571344.61</v>
      </c>
      <c r="L7" s="16">
        <v>472679.66</v>
      </c>
      <c r="M7" s="16">
        <v>595170.9</v>
      </c>
      <c r="N7" s="16">
        <v>329108.81</v>
      </c>
    </row>
    <row r="8" spans="1:15" ht="14.5" x14ac:dyDescent="0.35">
      <c r="A8" s="15">
        <v>2014</v>
      </c>
      <c r="B8" s="16">
        <v>278717.65999999997</v>
      </c>
      <c r="C8" s="16">
        <v>344489.52</v>
      </c>
      <c r="D8" s="16">
        <v>466330.75</v>
      </c>
      <c r="E8" s="16">
        <v>480188.74</v>
      </c>
      <c r="F8" s="16">
        <v>495605.2</v>
      </c>
      <c r="G8" s="16">
        <v>562101.81999999995</v>
      </c>
      <c r="H8" s="16">
        <v>545526.79</v>
      </c>
      <c r="I8" s="16">
        <v>419765.76000000001</v>
      </c>
      <c r="J8" s="16">
        <v>501232.81</v>
      </c>
      <c r="K8" s="16">
        <v>552731.01</v>
      </c>
      <c r="L8" s="16">
        <v>440554.71</v>
      </c>
      <c r="M8" s="16">
        <v>652712.26</v>
      </c>
      <c r="N8" s="16">
        <v>258946.78</v>
      </c>
    </row>
    <row r="9" spans="1:15" ht="14.5" x14ac:dyDescent="0.35">
      <c r="A9" s="15">
        <v>2015</v>
      </c>
      <c r="B9" s="16">
        <v>232624.31</v>
      </c>
      <c r="C9" s="16">
        <v>413892.17</v>
      </c>
      <c r="D9" s="16">
        <v>504925.73</v>
      </c>
      <c r="E9" s="16">
        <v>480188.79</v>
      </c>
      <c r="F9" s="16">
        <v>468607.87</v>
      </c>
      <c r="G9" s="16">
        <v>606139.91</v>
      </c>
      <c r="H9" s="16">
        <v>542982.97</v>
      </c>
      <c r="I9" s="16">
        <v>401097.16</v>
      </c>
      <c r="J9" s="16">
        <v>545173.26</v>
      </c>
      <c r="K9" s="16">
        <v>536438.54</v>
      </c>
      <c r="L9" s="16">
        <v>531580.72</v>
      </c>
      <c r="M9" s="16">
        <v>564291.65</v>
      </c>
      <c r="N9" s="16">
        <v>248055.79</v>
      </c>
    </row>
    <row r="10" spans="1:15" ht="14.5" x14ac:dyDescent="0.35">
      <c r="A10" s="15">
        <v>2016</v>
      </c>
      <c r="B10" s="16">
        <v>273492.40999999997</v>
      </c>
      <c r="C10" s="16">
        <v>456357.24</v>
      </c>
      <c r="D10" s="16">
        <v>545519.31000000006</v>
      </c>
      <c r="E10" s="16">
        <v>482752.13</v>
      </c>
      <c r="F10" s="16">
        <v>514551.99</v>
      </c>
      <c r="G10" s="16">
        <v>556175.03</v>
      </c>
      <c r="H10" s="16">
        <v>494409.65</v>
      </c>
      <c r="I10" s="16">
        <v>474068.07</v>
      </c>
      <c r="J10" s="16">
        <v>704862.41</v>
      </c>
      <c r="K10" s="16">
        <v>471935.4</v>
      </c>
      <c r="L10" s="16">
        <v>601393.15</v>
      </c>
      <c r="M10" s="16">
        <v>479333.81</v>
      </c>
      <c r="N10" s="16">
        <f>278240.4</f>
        <v>278240.40000000002</v>
      </c>
    </row>
    <row r="11" spans="1:15" ht="14.5" x14ac:dyDescent="0.35">
      <c r="A11" s="23">
        <v>2017</v>
      </c>
      <c r="B11" s="24">
        <v>381760.96</v>
      </c>
      <c r="C11" s="24">
        <v>444660.78</v>
      </c>
      <c r="D11" s="24">
        <v>564471.66</v>
      </c>
      <c r="E11" s="24">
        <v>515706.97</v>
      </c>
      <c r="F11" s="24">
        <v>534268.01</v>
      </c>
      <c r="G11" s="24">
        <v>511801.39</v>
      </c>
      <c r="H11" s="24">
        <v>572563.46</v>
      </c>
      <c r="I11" s="24">
        <v>458825</v>
      </c>
      <c r="J11" s="24">
        <v>538351.51</v>
      </c>
      <c r="K11" s="24">
        <v>521981.26</v>
      </c>
      <c r="L11" s="24">
        <v>502900</v>
      </c>
      <c r="M11" s="24">
        <v>460228.72</v>
      </c>
      <c r="N11" s="24">
        <v>257863.4</v>
      </c>
    </row>
    <row r="12" spans="1:15" ht="14.5" x14ac:dyDescent="0.35">
      <c r="A12" s="23">
        <v>2018</v>
      </c>
      <c r="B12" s="24">
        <v>349933.88</v>
      </c>
      <c r="C12" s="24">
        <v>397365.93</v>
      </c>
      <c r="D12" s="24">
        <v>524146.97</v>
      </c>
      <c r="E12" s="24">
        <v>597974.56000000006</v>
      </c>
      <c r="F12" s="24">
        <v>506807.41</v>
      </c>
      <c r="G12" s="24">
        <v>523037.82</v>
      </c>
      <c r="H12" s="24">
        <v>623977.18999999994</v>
      </c>
      <c r="I12" s="24">
        <v>508968.29</v>
      </c>
      <c r="J12" s="24">
        <v>515764.17</v>
      </c>
      <c r="K12" s="24">
        <v>563680.52</v>
      </c>
      <c r="L12" s="24">
        <v>537637.09</v>
      </c>
      <c r="M12" s="24">
        <v>549993.19999999995</v>
      </c>
      <c r="N12" s="19">
        <v>219097.73000000045</v>
      </c>
    </row>
    <row r="14" spans="1:15" x14ac:dyDescent="0.3">
      <c r="A14" s="17" t="s">
        <v>573</v>
      </c>
      <c r="B14" s="18">
        <f>AVERAGE(B9:B11)</f>
        <v>295959.22666666663</v>
      </c>
      <c r="C14" s="18">
        <f t="shared" ref="C14:N14" si="0">AVERAGE(C9:C11)</f>
        <v>438303.39666666667</v>
      </c>
      <c r="D14" s="18">
        <f t="shared" si="0"/>
        <v>538305.56666666677</v>
      </c>
      <c r="E14" s="18">
        <f t="shared" si="0"/>
        <v>492882.62999999995</v>
      </c>
      <c r="F14" s="18">
        <f t="shared" si="0"/>
        <v>505809.29000000004</v>
      </c>
      <c r="G14" s="18">
        <f t="shared" si="0"/>
        <v>558038.77666666673</v>
      </c>
      <c r="H14" s="18">
        <f t="shared" si="0"/>
        <v>536652.02666666673</v>
      </c>
      <c r="I14" s="18">
        <f t="shared" si="0"/>
        <v>444663.41</v>
      </c>
      <c r="J14" s="18">
        <f t="shared" si="0"/>
        <v>596129.05999999994</v>
      </c>
      <c r="K14" s="18">
        <f t="shared" si="0"/>
        <v>510118.40000000008</v>
      </c>
      <c r="L14" s="18">
        <f t="shared" si="0"/>
        <v>545291.29</v>
      </c>
      <c r="M14" s="18">
        <f t="shared" si="0"/>
        <v>501284.72666666663</v>
      </c>
      <c r="N14" s="18">
        <f t="shared" si="0"/>
        <v>261386.53000000003</v>
      </c>
      <c r="O14" s="18">
        <f t="shared" ref="O14:O19" si="1">SUM(B14:N14)</f>
        <v>6224824.330000001</v>
      </c>
    </row>
    <row r="15" spans="1:15" x14ac:dyDescent="0.3">
      <c r="A15" s="7">
        <f t="shared" ref="A15:N15" si="2">A8</f>
        <v>2014</v>
      </c>
      <c r="B15" s="19">
        <f t="shared" si="2"/>
        <v>278717.65999999997</v>
      </c>
      <c r="C15" s="19">
        <f t="shared" si="2"/>
        <v>344489.52</v>
      </c>
      <c r="D15" s="19">
        <f t="shared" si="2"/>
        <v>466330.75</v>
      </c>
      <c r="E15" s="19">
        <f t="shared" si="2"/>
        <v>480188.74</v>
      </c>
      <c r="F15" s="19">
        <f t="shared" si="2"/>
        <v>495605.2</v>
      </c>
      <c r="G15" s="19">
        <f t="shared" si="2"/>
        <v>562101.81999999995</v>
      </c>
      <c r="H15" s="19">
        <f t="shared" si="2"/>
        <v>545526.79</v>
      </c>
      <c r="I15" s="19">
        <f t="shared" si="2"/>
        <v>419765.76000000001</v>
      </c>
      <c r="J15" s="19">
        <f t="shared" si="2"/>
        <v>501232.81</v>
      </c>
      <c r="K15" s="19">
        <f t="shared" si="2"/>
        <v>552731.01</v>
      </c>
      <c r="L15" s="19">
        <f t="shared" si="2"/>
        <v>440554.71</v>
      </c>
      <c r="M15" s="19">
        <f t="shared" si="2"/>
        <v>652712.26</v>
      </c>
      <c r="N15" s="19">
        <f t="shared" si="2"/>
        <v>258946.78</v>
      </c>
      <c r="O15" s="18">
        <f t="shared" si="1"/>
        <v>5998903.8100000005</v>
      </c>
    </row>
    <row r="16" spans="1:15" x14ac:dyDescent="0.3">
      <c r="A16" s="7">
        <v>2015</v>
      </c>
      <c r="B16" s="19">
        <f t="shared" ref="B16:N16" si="3">B9</f>
        <v>232624.31</v>
      </c>
      <c r="C16" s="19">
        <f t="shared" si="3"/>
        <v>413892.17</v>
      </c>
      <c r="D16" s="19">
        <f t="shared" si="3"/>
        <v>504925.73</v>
      </c>
      <c r="E16" s="19">
        <f t="shared" si="3"/>
        <v>480188.79</v>
      </c>
      <c r="F16" s="19">
        <f t="shared" si="3"/>
        <v>468607.87</v>
      </c>
      <c r="G16" s="19">
        <f t="shared" si="3"/>
        <v>606139.91</v>
      </c>
      <c r="H16" s="19">
        <f t="shared" si="3"/>
        <v>542982.97</v>
      </c>
      <c r="I16" s="19">
        <f t="shared" si="3"/>
        <v>401097.16</v>
      </c>
      <c r="J16" s="19">
        <f t="shared" si="3"/>
        <v>545173.26</v>
      </c>
      <c r="K16" s="19">
        <f t="shared" si="3"/>
        <v>536438.54</v>
      </c>
      <c r="L16" s="19">
        <f t="shared" si="3"/>
        <v>531580.72</v>
      </c>
      <c r="M16" s="19">
        <f t="shared" si="3"/>
        <v>564291.65</v>
      </c>
      <c r="N16" s="19">
        <f t="shared" si="3"/>
        <v>248055.79</v>
      </c>
      <c r="O16" s="19">
        <f t="shared" si="1"/>
        <v>6075998.8700000001</v>
      </c>
    </row>
    <row r="17" spans="1:15" x14ac:dyDescent="0.3">
      <c r="A17" s="7">
        <v>2016</v>
      </c>
      <c r="B17" s="19">
        <f t="shared" ref="B17:N17" si="4">B10</f>
        <v>273492.40999999997</v>
      </c>
      <c r="C17" s="19">
        <f t="shared" si="4"/>
        <v>456357.24</v>
      </c>
      <c r="D17" s="19">
        <f t="shared" si="4"/>
        <v>545519.31000000006</v>
      </c>
      <c r="E17" s="19">
        <f t="shared" si="4"/>
        <v>482752.13</v>
      </c>
      <c r="F17" s="19">
        <f t="shared" si="4"/>
        <v>514551.99</v>
      </c>
      <c r="G17" s="19">
        <f t="shared" si="4"/>
        <v>556175.03</v>
      </c>
      <c r="H17" s="19">
        <f t="shared" si="4"/>
        <v>494409.65</v>
      </c>
      <c r="I17" s="19">
        <f t="shared" si="4"/>
        <v>474068.07</v>
      </c>
      <c r="J17" s="19">
        <f t="shared" si="4"/>
        <v>704862.41</v>
      </c>
      <c r="K17" s="19">
        <f t="shared" si="4"/>
        <v>471935.4</v>
      </c>
      <c r="L17" s="19">
        <f t="shared" si="4"/>
        <v>601393.15</v>
      </c>
      <c r="M17" s="19">
        <f t="shared" si="4"/>
        <v>479333.81</v>
      </c>
      <c r="N17" s="19">
        <f t="shared" si="4"/>
        <v>278240.40000000002</v>
      </c>
      <c r="O17" s="19">
        <f t="shared" si="1"/>
        <v>6333091.0000000009</v>
      </c>
    </row>
    <row r="18" spans="1:15" x14ac:dyDescent="0.3">
      <c r="A18" s="7">
        <v>2017</v>
      </c>
      <c r="B18" s="19">
        <f t="shared" ref="B18:K18" si="5">B11</f>
        <v>381760.96</v>
      </c>
      <c r="C18" s="19">
        <f t="shared" si="5"/>
        <v>444660.78</v>
      </c>
      <c r="D18" s="19">
        <f t="shared" si="5"/>
        <v>564471.66</v>
      </c>
      <c r="E18" s="19">
        <f t="shared" si="5"/>
        <v>515706.97</v>
      </c>
      <c r="F18" s="19">
        <f t="shared" si="5"/>
        <v>534268.01</v>
      </c>
      <c r="G18" s="19">
        <f t="shared" si="5"/>
        <v>511801.39</v>
      </c>
      <c r="H18" s="19">
        <f t="shared" si="5"/>
        <v>572563.46</v>
      </c>
      <c r="I18" s="19">
        <f t="shared" si="5"/>
        <v>458825</v>
      </c>
      <c r="J18" s="19">
        <f t="shared" si="5"/>
        <v>538351.51</v>
      </c>
      <c r="K18" s="19">
        <f t="shared" si="5"/>
        <v>521981.26</v>
      </c>
      <c r="L18" s="19">
        <v>502899.82</v>
      </c>
      <c r="M18" s="19">
        <f>M11</f>
        <v>460228.72</v>
      </c>
      <c r="N18" s="19">
        <f>N11</f>
        <v>257863.4</v>
      </c>
      <c r="O18" s="19">
        <f t="shared" si="1"/>
        <v>6265382.9400000004</v>
      </c>
    </row>
    <row r="19" spans="1:15" x14ac:dyDescent="0.3">
      <c r="A19" s="7">
        <v>2018</v>
      </c>
      <c r="B19" s="19">
        <f>B12</f>
        <v>349933.88</v>
      </c>
      <c r="C19" s="19">
        <f>C12</f>
        <v>397365.93</v>
      </c>
      <c r="D19" s="19">
        <f>D12</f>
        <v>524146.97</v>
      </c>
      <c r="E19" s="19">
        <f>E12</f>
        <v>597974.56000000006</v>
      </c>
      <c r="F19" s="19">
        <f>F12</f>
        <v>506807.41</v>
      </c>
      <c r="G19" s="19">
        <f t="shared" ref="G19:M19" si="6">G12</f>
        <v>523037.82</v>
      </c>
      <c r="H19" s="19">
        <f t="shared" si="6"/>
        <v>623977.18999999994</v>
      </c>
      <c r="I19" s="19">
        <f t="shared" si="6"/>
        <v>508968.29</v>
      </c>
      <c r="J19" s="19">
        <f t="shared" si="6"/>
        <v>515764.17</v>
      </c>
      <c r="K19" s="19">
        <f t="shared" si="6"/>
        <v>563680.52</v>
      </c>
      <c r="L19" s="19">
        <f t="shared" si="6"/>
        <v>537637.09</v>
      </c>
      <c r="M19" s="19">
        <f t="shared" si="6"/>
        <v>549993.19999999995</v>
      </c>
      <c r="N19" s="19">
        <v>219097.73000000045</v>
      </c>
      <c r="O19" s="19">
        <f t="shared" si="1"/>
        <v>6418384.7600000007</v>
      </c>
    </row>
    <row r="20" spans="1:15" x14ac:dyDescent="0.3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5" x14ac:dyDescent="0.3">
      <c r="A21" s="7" t="s">
        <v>574</v>
      </c>
    </row>
    <row r="22" spans="1:15" x14ac:dyDescent="0.3">
      <c r="O22" s="7" t="s">
        <v>1</v>
      </c>
    </row>
    <row r="23" spans="1:15" x14ac:dyDescent="0.3">
      <c r="A23" s="7" t="str">
        <f t="shared" ref="A23:B23" si="7">A14</f>
        <v>Mean</v>
      </c>
      <c r="B23" s="20">
        <f t="shared" si="7"/>
        <v>295959.22666666663</v>
      </c>
      <c r="C23" s="19">
        <f>B23+C14</f>
        <v>734262.62333333329</v>
      </c>
      <c r="D23" s="19">
        <f t="shared" ref="D23:N23" si="8">C23+D14</f>
        <v>1272568.19</v>
      </c>
      <c r="E23" s="19">
        <f t="shared" si="8"/>
        <v>1765450.8199999998</v>
      </c>
      <c r="F23" s="19">
        <f t="shared" si="8"/>
        <v>2271260.11</v>
      </c>
      <c r="G23" s="19">
        <f t="shared" si="8"/>
        <v>2829298.8866666667</v>
      </c>
      <c r="H23" s="19">
        <f t="shared" si="8"/>
        <v>3365950.9133333336</v>
      </c>
      <c r="I23" s="19">
        <f t="shared" si="8"/>
        <v>3810614.3233333337</v>
      </c>
      <c r="J23" s="19">
        <f t="shared" si="8"/>
        <v>4406743.3833333338</v>
      </c>
      <c r="K23" s="19">
        <f t="shared" si="8"/>
        <v>4916861.7833333341</v>
      </c>
      <c r="L23" s="19">
        <f t="shared" si="8"/>
        <v>5462153.0733333342</v>
      </c>
      <c r="M23" s="19">
        <f t="shared" si="8"/>
        <v>5963437.8000000007</v>
      </c>
      <c r="N23" s="19">
        <f t="shared" si="8"/>
        <v>6224824.330000001</v>
      </c>
      <c r="O23" s="19">
        <f>AVERAGE(O29:O31)</f>
        <v>6699136.666666667</v>
      </c>
    </row>
    <row r="24" spans="1:15" x14ac:dyDescent="0.3">
      <c r="A24" s="7">
        <v>2009</v>
      </c>
      <c r="B24" s="20">
        <f>B3</f>
        <v>171090.61</v>
      </c>
      <c r="C24" s="20">
        <f t="shared" ref="C24:N24" si="9">B24+C3</f>
        <v>527805.67999999993</v>
      </c>
      <c r="D24" s="20">
        <f t="shared" si="9"/>
        <v>1021515.6499999999</v>
      </c>
      <c r="E24" s="20">
        <f t="shared" si="9"/>
        <v>1517621.5</v>
      </c>
      <c r="F24" s="20">
        <f t="shared" si="9"/>
        <v>1977236.27</v>
      </c>
      <c r="G24" s="20">
        <f t="shared" si="9"/>
        <v>2498751.29</v>
      </c>
      <c r="H24" s="20">
        <f t="shared" si="9"/>
        <v>3074884.44</v>
      </c>
      <c r="I24" s="20">
        <f t="shared" si="9"/>
        <v>3490199.51</v>
      </c>
      <c r="J24" s="20">
        <f t="shared" si="9"/>
        <v>4032542.1399999997</v>
      </c>
      <c r="K24" s="20">
        <f t="shared" si="9"/>
        <v>4595137.13</v>
      </c>
      <c r="L24" s="20">
        <f t="shared" si="9"/>
        <v>5149599.68</v>
      </c>
      <c r="M24" s="20">
        <f t="shared" si="9"/>
        <v>5751874.6600000001</v>
      </c>
      <c r="N24" s="20">
        <f t="shared" si="9"/>
        <v>6077373.6500000004</v>
      </c>
    </row>
    <row r="25" spans="1:15" x14ac:dyDescent="0.3">
      <c r="A25" s="7">
        <v>2010</v>
      </c>
      <c r="B25" s="20">
        <f>B4</f>
        <v>200377.24</v>
      </c>
      <c r="C25" s="20">
        <f t="shared" ref="C25:N25" si="10">B25+C4</f>
        <v>581798.26</v>
      </c>
      <c r="D25" s="20">
        <f t="shared" si="10"/>
        <v>1130589.21</v>
      </c>
      <c r="E25" s="20">
        <f t="shared" si="10"/>
        <v>1691131.68</v>
      </c>
      <c r="F25" s="20">
        <f t="shared" si="10"/>
        <v>2116333.62</v>
      </c>
      <c r="G25" s="20">
        <f t="shared" si="10"/>
        <v>2674891.09</v>
      </c>
      <c r="H25" s="20">
        <f t="shared" si="10"/>
        <v>3222464.53</v>
      </c>
      <c r="I25" s="20">
        <f t="shared" si="10"/>
        <v>3693362.79</v>
      </c>
      <c r="J25" s="20">
        <f t="shared" si="10"/>
        <v>4213687.87</v>
      </c>
      <c r="K25" s="20">
        <f t="shared" si="10"/>
        <v>4703384.68</v>
      </c>
      <c r="L25" s="20">
        <f t="shared" si="10"/>
        <v>5232737.76</v>
      </c>
      <c r="M25" s="20">
        <f t="shared" si="10"/>
        <v>5840383.3200000003</v>
      </c>
      <c r="N25" s="20">
        <f t="shared" si="10"/>
        <v>6183373.6500000004</v>
      </c>
    </row>
    <row r="26" spans="1:15" x14ac:dyDescent="0.3">
      <c r="A26" s="7">
        <v>2011</v>
      </c>
      <c r="B26" s="20">
        <f>B5</f>
        <v>214028.17</v>
      </c>
      <c r="C26" s="20">
        <f t="shared" ref="C26:N26" si="11">B26+C5</f>
        <v>567632.62</v>
      </c>
      <c r="D26" s="20">
        <f t="shared" si="11"/>
        <v>1171699.1299999999</v>
      </c>
      <c r="E26" s="20">
        <f t="shared" si="11"/>
        <v>1693140.5799999998</v>
      </c>
      <c r="F26" s="20">
        <f t="shared" si="11"/>
        <v>2166524.2199999997</v>
      </c>
      <c r="G26" s="20">
        <f t="shared" si="11"/>
        <v>2714165.53</v>
      </c>
      <c r="H26" s="20">
        <f t="shared" si="11"/>
        <v>3236467.5199999996</v>
      </c>
      <c r="I26" s="20">
        <f t="shared" si="11"/>
        <v>3748486.0199999996</v>
      </c>
      <c r="J26" s="20">
        <f t="shared" si="11"/>
        <v>4327978.1099999994</v>
      </c>
      <c r="K26" s="20">
        <f t="shared" si="11"/>
        <v>4841939.97</v>
      </c>
      <c r="L26" s="20">
        <f t="shared" si="11"/>
        <v>5401578.8799999999</v>
      </c>
      <c r="M26" s="20">
        <f t="shared" si="11"/>
        <v>5971337.1899999995</v>
      </c>
      <c r="N26" s="20">
        <f t="shared" si="11"/>
        <v>6293509.2599999998</v>
      </c>
    </row>
    <row r="27" spans="1:15" x14ac:dyDescent="0.3">
      <c r="A27" s="7">
        <v>2012</v>
      </c>
      <c r="B27" s="20">
        <f>B6</f>
        <v>225738.64</v>
      </c>
      <c r="C27" s="20">
        <f t="shared" ref="C27:N27" si="12">B27+C6</f>
        <v>660453.33000000007</v>
      </c>
      <c r="D27" s="20">
        <f t="shared" si="12"/>
        <v>1178462.1300000001</v>
      </c>
      <c r="E27" s="20">
        <f t="shared" si="12"/>
        <v>1698768.56</v>
      </c>
      <c r="F27" s="20">
        <f t="shared" si="12"/>
        <v>2209090.92</v>
      </c>
      <c r="G27" s="20">
        <f t="shared" si="12"/>
        <v>2679695.12</v>
      </c>
      <c r="H27" s="20">
        <f t="shared" si="12"/>
        <v>3301069.87</v>
      </c>
      <c r="I27" s="20">
        <f t="shared" si="12"/>
        <v>3769666.45</v>
      </c>
      <c r="J27" s="20">
        <f t="shared" si="12"/>
        <v>4256209.1900000004</v>
      </c>
      <c r="K27" s="20">
        <f t="shared" si="12"/>
        <v>4824951.2700000005</v>
      </c>
      <c r="L27" s="20">
        <f t="shared" si="12"/>
        <v>5353910.8800000008</v>
      </c>
      <c r="M27" s="20">
        <f t="shared" si="12"/>
        <v>5855995.4700000007</v>
      </c>
      <c r="N27" s="20">
        <f t="shared" si="12"/>
        <v>6136870.0700000003</v>
      </c>
    </row>
    <row r="28" spans="1:15" x14ac:dyDescent="0.3">
      <c r="A28" s="7">
        <v>2013</v>
      </c>
      <c r="B28" s="20">
        <f>B7</f>
        <v>256706</v>
      </c>
      <c r="C28" s="20">
        <f t="shared" ref="C28:N28" si="13">B28+C7</f>
        <v>643081.48</v>
      </c>
      <c r="D28" s="20">
        <f t="shared" si="13"/>
        <v>1096158.74</v>
      </c>
      <c r="E28" s="20">
        <f t="shared" si="13"/>
        <v>1685673.76</v>
      </c>
      <c r="F28" s="20">
        <f t="shared" si="13"/>
        <v>2131971.77</v>
      </c>
      <c r="G28" s="20">
        <f t="shared" si="13"/>
        <v>2675405.85</v>
      </c>
      <c r="H28" s="20">
        <f t="shared" si="13"/>
        <v>3262956.7800000003</v>
      </c>
      <c r="I28" s="20">
        <f t="shared" si="13"/>
        <v>3737596.75</v>
      </c>
      <c r="J28" s="20">
        <f t="shared" si="13"/>
        <v>4265515.8499999996</v>
      </c>
      <c r="K28" s="20">
        <f t="shared" si="13"/>
        <v>4836860.46</v>
      </c>
      <c r="L28" s="20">
        <f t="shared" si="13"/>
        <v>5309540.12</v>
      </c>
      <c r="M28" s="20">
        <f t="shared" si="13"/>
        <v>5904711.0200000005</v>
      </c>
      <c r="N28" s="20">
        <f t="shared" si="13"/>
        <v>6233819.8300000001</v>
      </c>
    </row>
    <row r="29" spans="1:15" x14ac:dyDescent="0.3">
      <c r="A29" s="7">
        <v>2014</v>
      </c>
      <c r="B29" s="20">
        <f>B15</f>
        <v>278717.65999999997</v>
      </c>
      <c r="C29" s="20">
        <f t="shared" ref="C29:N29" si="14">B29+C15</f>
        <v>623207.17999999993</v>
      </c>
      <c r="D29" s="20">
        <f t="shared" si="14"/>
        <v>1089537.93</v>
      </c>
      <c r="E29" s="20">
        <f t="shared" si="14"/>
        <v>1569726.67</v>
      </c>
      <c r="F29" s="20">
        <f t="shared" si="14"/>
        <v>2065331.8699999999</v>
      </c>
      <c r="G29" s="20">
        <f t="shared" si="14"/>
        <v>2627433.69</v>
      </c>
      <c r="H29" s="20">
        <f t="shared" si="14"/>
        <v>3172960.48</v>
      </c>
      <c r="I29" s="20">
        <f t="shared" si="14"/>
        <v>3592726.24</v>
      </c>
      <c r="J29" s="20">
        <f t="shared" si="14"/>
        <v>4093959.0500000003</v>
      </c>
      <c r="K29" s="20">
        <f t="shared" si="14"/>
        <v>4646690.0600000005</v>
      </c>
      <c r="L29" s="20">
        <f t="shared" si="14"/>
        <v>5087244.7700000005</v>
      </c>
      <c r="M29" s="20">
        <f t="shared" si="14"/>
        <v>5739957.0300000003</v>
      </c>
      <c r="N29" s="20">
        <f t="shared" si="14"/>
        <v>5998903.8100000005</v>
      </c>
      <c r="O29" s="19">
        <v>6524474</v>
      </c>
    </row>
    <row r="30" spans="1:15" x14ac:dyDescent="0.3">
      <c r="A30" s="7">
        <v>2015</v>
      </c>
      <c r="B30" s="20">
        <f>B16</f>
        <v>232624.31</v>
      </c>
      <c r="C30" s="20">
        <f t="shared" ref="C30:N30" si="15">B30+C16</f>
        <v>646516.47999999998</v>
      </c>
      <c r="D30" s="20">
        <f t="shared" si="15"/>
        <v>1151442.21</v>
      </c>
      <c r="E30" s="20">
        <f t="shared" si="15"/>
        <v>1631631</v>
      </c>
      <c r="F30" s="20">
        <f t="shared" si="15"/>
        <v>2100238.87</v>
      </c>
      <c r="G30" s="20">
        <f t="shared" si="15"/>
        <v>2706378.7800000003</v>
      </c>
      <c r="H30" s="20">
        <f t="shared" si="15"/>
        <v>3249361.75</v>
      </c>
      <c r="I30" s="20">
        <f t="shared" si="15"/>
        <v>3650458.91</v>
      </c>
      <c r="J30" s="20">
        <f t="shared" si="15"/>
        <v>4195632.17</v>
      </c>
      <c r="K30" s="20">
        <f t="shared" si="15"/>
        <v>4732070.71</v>
      </c>
      <c r="L30" s="20">
        <f t="shared" si="15"/>
        <v>5263651.43</v>
      </c>
      <c r="M30" s="20">
        <f t="shared" si="15"/>
        <v>5827943.0800000001</v>
      </c>
      <c r="N30" s="20">
        <f t="shared" si="15"/>
        <v>6075998.8700000001</v>
      </c>
      <c r="O30" s="19">
        <v>6642201</v>
      </c>
    </row>
    <row r="31" spans="1:15" x14ac:dyDescent="0.3">
      <c r="A31" s="7">
        <v>2016</v>
      </c>
      <c r="B31" s="20">
        <f>B17</f>
        <v>273492.40999999997</v>
      </c>
      <c r="C31" s="20">
        <f>B31+C17</f>
        <v>729849.64999999991</v>
      </c>
      <c r="D31" s="20">
        <f>C31+D17</f>
        <v>1275368.96</v>
      </c>
      <c r="E31" s="20">
        <f t="shared" ref="E31:J31" si="16">D31+E17</f>
        <v>1758121.0899999999</v>
      </c>
      <c r="F31" s="20">
        <f t="shared" si="16"/>
        <v>2272673.08</v>
      </c>
      <c r="G31" s="20">
        <f t="shared" si="16"/>
        <v>2828848.1100000003</v>
      </c>
      <c r="H31" s="20">
        <f t="shared" si="16"/>
        <v>3323257.7600000002</v>
      </c>
      <c r="I31" s="20">
        <f t="shared" si="16"/>
        <v>3797325.83</v>
      </c>
      <c r="J31" s="20">
        <f t="shared" si="16"/>
        <v>4502188.24</v>
      </c>
      <c r="K31" s="20">
        <f>J31+K17</f>
        <v>4974123.6400000006</v>
      </c>
      <c r="L31" s="20">
        <f t="shared" ref="L31:N31" si="17">K31+L17</f>
        <v>5575516.790000001</v>
      </c>
      <c r="M31" s="20">
        <f t="shared" si="17"/>
        <v>6054850.6000000006</v>
      </c>
      <c r="N31" s="20">
        <f t="shared" si="17"/>
        <v>6333091.0000000009</v>
      </c>
      <c r="O31" s="19">
        <v>6930735</v>
      </c>
    </row>
    <row r="32" spans="1:15" x14ac:dyDescent="0.3">
      <c r="A32" s="7">
        <v>2017</v>
      </c>
      <c r="B32" s="20">
        <f>B18</f>
        <v>381760.96</v>
      </c>
      <c r="C32" s="20">
        <f>B32+C18</f>
        <v>826421.74</v>
      </c>
      <c r="D32" s="20">
        <f t="shared" ref="D32:N32" si="18">C32+D18</f>
        <v>1390893.4</v>
      </c>
      <c r="E32" s="20">
        <f t="shared" si="18"/>
        <v>1906600.3699999999</v>
      </c>
      <c r="F32" s="20">
        <f t="shared" si="18"/>
        <v>2440868.38</v>
      </c>
      <c r="G32" s="20">
        <f t="shared" si="18"/>
        <v>2952669.77</v>
      </c>
      <c r="H32" s="20">
        <f t="shared" si="18"/>
        <v>3525233.23</v>
      </c>
      <c r="I32" s="20">
        <f t="shared" si="18"/>
        <v>3984058.23</v>
      </c>
      <c r="J32" s="20">
        <f t="shared" si="18"/>
        <v>4522409.74</v>
      </c>
      <c r="K32" s="20">
        <f t="shared" si="18"/>
        <v>5044391</v>
      </c>
      <c r="L32" s="20">
        <f t="shared" si="18"/>
        <v>5547290.8200000003</v>
      </c>
      <c r="M32" s="20">
        <f t="shared" si="18"/>
        <v>6007519.54</v>
      </c>
      <c r="N32" s="20">
        <f t="shared" si="18"/>
        <v>6265382.9400000004</v>
      </c>
    </row>
    <row r="33" spans="1:15" x14ac:dyDescent="0.3">
      <c r="A33" s="7">
        <v>2018</v>
      </c>
      <c r="B33" s="20">
        <f>B19</f>
        <v>349933.88</v>
      </c>
      <c r="C33" s="20">
        <f>B33+C19</f>
        <v>747299.81</v>
      </c>
      <c r="D33" s="20">
        <f>C33+D19</f>
        <v>1271446.78</v>
      </c>
      <c r="E33" s="20">
        <f>D33+E19</f>
        <v>1869421.34</v>
      </c>
      <c r="F33" s="20">
        <f>E33+F19</f>
        <v>2376228.75</v>
      </c>
      <c r="G33" s="20">
        <f t="shared" ref="G33:M33" si="19">F33+G19</f>
        <v>2899266.57</v>
      </c>
      <c r="H33" s="20">
        <f t="shared" si="19"/>
        <v>3523243.76</v>
      </c>
      <c r="I33" s="20">
        <f t="shared" si="19"/>
        <v>4032212.05</v>
      </c>
      <c r="J33" s="20">
        <f t="shared" si="19"/>
        <v>4547976.22</v>
      </c>
      <c r="K33" s="20">
        <f t="shared" si="19"/>
        <v>5111656.74</v>
      </c>
      <c r="L33" s="20">
        <f t="shared" si="19"/>
        <v>5649293.8300000001</v>
      </c>
      <c r="M33" s="20">
        <f t="shared" si="19"/>
        <v>6199287.0300000003</v>
      </c>
      <c r="N33" s="20"/>
    </row>
    <row r="35" spans="1:15" x14ac:dyDescent="0.3">
      <c r="A35" s="7" t="s">
        <v>546</v>
      </c>
      <c r="B35" s="7">
        <f>B2*$A$37</f>
        <v>538487.92307692312</v>
      </c>
      <c r="C35" s="7">
        <f t="shared" ref="C35:M35" si="20">C2*$A$37</f>
        <v>1076975.8461538462</v>
      </c>
      <c r="D35" s="7">
        <f t="shared" si="20"/>
        <v>1615463.7692307695</v>
      </c>
      <c r="E35" s="7">
        <f t="shared" si="20"/>
        <v>2153951.6923076925</v>
      </c>
      <c r="F35" s="7">
        <f t="shared" si="20"/>
        <v>2692439.6153846155</v>
      </c>
      <c r="G35" s="7">
        <f t="shared" si="20"/>
        <v>3230927.538461539</v>
      </c>
      <c r="H35" s="7">
        <f t="shared" si="20"/>
        <v>3769415.461538462</v>
      </c>
      <c r="I35" s="7">
        <f t="shared" si="20"/>
        <v>4307903.384615385</v>
      </c>
      <c r="J35" s="7">
        <f t="shared" si="20"/>
        <v>4846391.307692308</v>
      </c>
      <c r="K35" s="7">
        <f t="shared" si="20"/>
        <v>5384879.230769231</v>
      </c>
      <c r="L35" s="7">
        <f t="shared" si="20"/>
        <v>5923367.153846154</v>
      </c>
      <c r="M35" s="7">
        <f t="shared" si="20"/>
        <v>6461855.0769230779</v>
      </c>
      <c r="N35" s="7">
        <f>13*$A$37</f>
        <v>7000343.0000000009</v>
      </c>
    </row>
    <row r="36" spans="1:15" x14ac:dyDescent="0.3">
      <c r="A36" s="21">
        <f>Summary!B35</f>
        <v>7000343</v>
      </c>
    </row>
    <row r="37" spans="1:15" x14ac:dyDescent="0.3">
      <c r="A37" s="7">
        <f>A36/13</f>
        <v>538487.92307692312</v>
      </c>
    </row>
    <row r="39" spans="1:15" x14ac:dyDescent="0.3">
      <c r="A39" s="7" t="s">
        <v>575</v>
      </c>
      <c r="B39" s="22">
        <f>B14/$O14</f>
        <v>4.7544992593657111E-2</v>
      </c>
      <c r="C39" s="22">
        <f t="shared" ref="C39:N39" si="21">C14/$O14</f>
        <v>7.0412171240608584E-2</v>
      </c>
      <c r="D39" s="22">
        <f t="shared" si="21"/>
        <v>8.6477230220353335E-2</v>
      </c>
      <c r="E39" s="22">
        <f t="shared" si="21"/>
        <v>7.918016700079307E-2</v>
      </c>
      <c r="F39" s="22">
        <f t="shared" si="21"/>
        <v>8.125679749102252E-2</v>
      </c>
      <c r="G39" s="22">
        <f t="shared" si="21"/>
        <v>8.9647313254648364E-2</v>
      </c>
      <c r="H39" s="22">
        <f t="shared" si="21"/>
        <v>8.62115938084098E-2</v>
      </c>
      <c r="I39" s="22">
        <f t="shared" si="21"/>
        <v>7.1433888962453645E-2</v>
      </c>
      <c r="J39" s="22">
        <f t="shared" si="21"/>
        <v>9.5766406953366967E-2</v>
      </c>
      <c r="K39" s="22">
        <f t="shared" si="21"/>
        <v>8.1949043532285507E-2</v>
      </c>
      <c r="L39" s="22">
        <f t="shared" si="21"/>
        <v>8.759946644148911E-2</v>
      </c>
      <c r="M39" s="22">
        <f t="shared" si="21"/>
        <v>8.0529939495765104E-2</v>
      </c>
      <c r="N39" s="22">
        <f t="shared" si="21"/>
        <v>4.199098900514675E-2</v>
      </c>
    </row>
    <row r="40" spans="1:15" x14ac:dyDescent="0.3">
      <c r="A40" s="7" t="s">
        <v>573</v>
      </c>
      <c r="B40" s="4">
        <f t="shared" ref="B40:N40" si="22">B23/$N23</f>
        <v>4.7544992593657111E-2</v>
      </c>
      <c r="C40" s="4">
        <f t="shared" si="22"/>
        <v>0.11795716383426569</v>
      </c>
      <c r="D40" s="4">
        <f t="shared" si="22"/>
        <v>0.204434394054619</v>
      </c>
      <c r="E40" s="4">
        <f t="shared" si="22"/>
        <v>0.28361456105541205</v>
      </c>
      <c r="F40" s="4">
        <f t="shared" si="22"/>
        <v>0.3648713585464346</v>
      </c>
      <c r="G40" s="4">
        <f t="shared" si="22"/>
        <v>0.45451867180108296</v>
      </c>
      <c r="H40" s="4">
        <f t="shared" si="22"/>
        <v>0.54073026560949278</v>
      </c>
      <c r="I40" s="4">
        <f t="shared" si="22"/>
        <v>0.61216415457194651</v>
      </c>
      <c r="J40" s="4">
        <f t="shared" si="22"/>
        <v>0.70793056152531342</v>
      </c>
      <c r="K40" s="4">
        <f t="shared" si="22"/>
        <v>0.78987960505759902</v>
      </c>
      <c r="L40" s="4">
        <f t="shared" si="22"/>
        <v>0.8774790714990881</v>
      </c>
      <c r="M40" s="4">
        <f t="shared" si="22"/>
        <v>0.95800901099485325</v>
      </c>
      <c r="N40" s="4">
        <f t="shared" si="22"/>
        <v>1</v>
      </c>
    </row>
    <row r="41" spans="1:15" x14ac:dyDescent="0.3">
      <c r="A41" s="7">
        <v>2013</v>
      </c>
      <c r="B41" s="4">
        <f>B29/$N29</f>
        <v>4.646143175948006E-2</v>
      </c>
      <c r="C41" s="4">
        <f t="shared" ref="C41:N41" si="23">C29/$N29</f>
        <v>0.103886843286457</v>
      </c>
      <c r="D41" s="4">
        <f t="shared" si="23"/>
        <v>0.18162283718964981</v>
      </c>
      <c r="E41" s="4">
        <f t="shared" si="23"/>
        <v>0.2616689181418963</v>
      </c>
      <c r="F41" s="4">
        <f t="shared" si="23"/>
        <v>0.34428487860684664</v>
      </c>
      <c r="G41" s="4">
        <f t="shared" si="23"/>
        <v>0.43798563424540055</v>
      </c>
      <c r="H41" s="4">
        <f t="shared" si="23"/>
        <v>0.5289233800866695</v>
      </c>
      <c r="I41" s="4">
        <f t="shared" si="23"/>
        <v>0.59889712417309116</v>
      </c>
      <c r="J41" s="4">
        <f t="shared" si="23"/>
        <v>0.68245119102851559</v>
      </c>
      <c r="K41" s="4">
        <f t="shared" si="23"/>
        <v>0.77458985960970095</v>
      </c>
      <c r="L41" s="4">
        <f t="shared" si="23"/>
        <v>0.84802906182954785</v>
      </c>
      <c r="M41" s="4">
        <f t="shared" si="23"/>
        <v>0.95683431703499844</v>
      </c>
      <c r="N41" s="4">
        <f t="shared" si="23"/>
        <v>1</v>
      </c>
    </row>
    <row r="42" spans="1:15" x14ac:dyDescent="0.3">
      <c r="A42" s="7">
        <v>2015</v>
      </c>
      <c r="B42" s="4">
        <f t="shared" ref="B42:N44" si="24">B30/$N30</f>
        <v>3.8285772426419167E-2</v>
      </c>
      <c r="C42" s="4">
        <f t="shared" si="24"/>
        <v>0.10640497041435427</v>
      </c>
      <c r="D42" s="4">
        <f t="shared" si="24"/>
        <v>0.18950665308468037</v>
      </c>
      <c r="E42" s="4">
        <f t="shared" si="24"/>
        <v>0.26853708088329514</v>
      </c>
      <c r="F42" s="4">
        <f t="shared" si="24"/>
        <v>0.34566149779418903</v>
      </c>
      <c r="G42" s="4">
        <f t="shared" si="24"/>
        <v>0.4454212118706336</v>
      </c>
      <c r="H42" s="4">
        <f t="shared" si="24"/>
        <v>0.53478643092637701</v>
      </c>
      <c r="I42" s="4">
        <f t="shared" si="24"/>
        <v>0.60079980067540728</v>
      </c>
      <c r="J42" s="4">
        <f t="shared" si="24"/>
        <v>0.69052550202334051</v>
      </c>
      <c r="K42" s="4">
        <f t="shared" si="24"/>
        <v>0.77881362575039448</v>
      </c>
      <c r="L42" s="4">
        <f t="shared" si="24"/>
        <v>0.86630223978300369</v>
      </c>
      <c r="M42" s="4">
        <f t="shared" si="24"/>
        <v>0.95917448384910575</v>
      </c>
      <c r="N42" s="4">
        <f t="shared" si="24"/>
        <v>1</v>
      </c>
    </row>
    <row r="43" spans="1:15" x14ac:dyDescent="0.3">
      <c r="A43" s="7">
        <v>2016</v>
      </c>
      <c r="B43" s="4">
        <f t="shared" si="24"/>
        <v>4.318466448689904E-2</v>
      </c>
      <c r="C43" s="4">
        <f t="shared" si="24"/>
        <v>0.11524382801384028</v>
      </c>
      <c r="D43" s="4">
        <f t="shared" si="24"/>
        <v>0.20138175181755635</v>
      </c>
      <c r="E43" s="4">
        <f t="shared" si="24"/>
        <v>0.27760868902720642</v>
      </c>
      <c r="F43" s="4">
        <f t="shared" si="24"/>
        <v>0.35885684889100755</v>
      </c>
      <c r="G43" s="4">
        <f t="shared" si="24"/>
        <v>0.44667731917952858</v>
      </c>
      <c r="H43" s="4">
        <f t="shared" si="24"/>
        <v>0.52474498787400969</v>
      </c>
      <c r="I43" s="4">
        <f t="shared" si="24"/>
        <v>0.59960070524803755</v>
      </c>
      <c r="J43" s="4">
        <f t="shared" si="24"/>
        <v>0.71089902861019993</v>
      </c>
      <c r="K43" s="4">
        <f t="shared" si="24"/>
        <v>0.78541799573067872</v>
      </c>
      <c r="L43" s="4">
        <f t="shared" si="24"/>
        <v>0.88037844237513718</v>
      </c>
      <c r="M43" s="4">
        <f t="shared" si="24"/>
        <v>0.95606562419519947</v>
      </c>
      <c r="N43" s="4">
        <f t="shared" si="24"/>
        <v>1</v>
      </c>
      <c r="O43" s="20"/>
    </row>
    <row r="44" spans="1:15" x14ac:dyDescent="0.3">
      <c r="A44" s="7">
        <v>2017</v>
      </c>
      <c r="B44" s="4">
        <f t="shared" si="24"/>
        <v>6.0931784003612717E-2</v>
      </c>
      <c r="C44" s="4">
        <f t="shared" si="24"/>
        <v>0.13190282986916677</v>
      </c>
      <c r="D44" s="4">
        <f t="shared" si="24"/>
        <v>0.22199655046144712</v>
      </c>
      <c r="E44" s="4">
        <f t="shared" si="24"/>
        <v>0.30430707719838107</v>
      </c>
      <c r="F44" s="4">
        <f t="shared" si="24"/>
        <v>0.38958007888341456</v>
      </c>
      <c r="G44" s="4">
        <f t="shared" si="24"/>
        <v>0.47126724707428652</v>
      </c>
      <c r="H44" s="4">
        <f t="shared" si="24"/>
        <v>0.56265247691308706</v>
      </c>
      <c r="I44" s="4">
        <f t="shared" si="24"/>
        <v>0.63588423375762559</v>
      </c>
      <c r="J44" s="4">
        <f t="shared" si="24"/>
        <v>0.7218089912952711</v>
      </c>
      <c r="K44" s="4">
        <f t="shared" si="24"/>
        <v>0.80512093966278775</v>
      </c>
      <c r="L44" s="4">
        <f t="shared" si="24"/>
        <v>0.88538735351426101</v>
      </c>
      <c r="M44" s="4">
        <f t="shared" si="24"/>
        <v>0.95884315412650578</v>
      </c>
      <c r="N44" s="4">
        <f t="shared" si="24"/>
        <v>1</v>
      </c>
      <c r="O44" s="20"/>
    </row>
    <row r="45" spans="1:15" x14ac:dyDescent="0.3">
      <c r="A45" s="7">
        <v>2018</v>
      </c>
      <c r="B45" s="30">
        <f>B33/B40</f>
        <v>7360057.5141678331</v>
      </c>
      <c r="C45" s="30">
        <f t="shared" ref="C45:N45" si="25">C33/C40</f>
        <v>6335349.0852830671</v>
      </c>
      <c r="D45" s="30">
        <f t="shared" si="25"/>
        <v>6219338.9027303597</v>
      </c>
      <c r="E45" s="30">
        <f t="shared" si="25"/>
        <v>6591415.2399063753</v>
      </c>
      <c r="F45" s="30">
        <f t="shared" si="25"/>
        <v>6512511.0380446436</v>
      </c>
      <c r="G45" s="30">
        <f t="shared" si="25"/>
        <v>6378762.3036724096</v>
      </c>
      <c r="H45" s="30">
        <f t="shared" si="25"/>
        <v>6515713.9965685466</v>
      </c>
      <c r="I45" s="30">
        <f t="shared" si="25"/>
        <v>6586815.0232015941</v>
      </c>
      <c r="J45" s="30">
        <f t="shared" si="25"/>
        <v>6424325.304166683</v>
      </c>
      <c r="K45" s="30">
        <f t="shared" si="25"/>
        <v>6471437.8080786774</v>
      </c>
      <c r="L45" s="30">
        <f t="shared" si="25"/>
        <v>6438095.2361048656</v>
      </c>
      <c r="M45" s="30">
        <f t="shared" si="25"/>
        <v>6471011.1897197021</v>
      </c>
      <c r="N45" s="30">
        <f t="shared" si="25"/>
        <v>0</v>
      </c>
      <c r="O45" s="20"/>
    </row>
    <row r="46" spans="1:15" x14ac:dyDescent="0.3">
      <c r="H46" s="4"/>
    </row>
    <row r="47" spans="1:15" x14ac:dyDescent="0.3">
      <c r="A47" s="7" t="s">
        <v>576</v>
      </c>
      <c r="B47" s="20">
        <f>MIN(B24:B31)</f>
        <v>171090.61</v>
      </c>
      <c r="C47" s="20">
        <f t="shared" ref="C47:N47" si="26">MIN(C24:C31)</f>
        <v>527805.67999999993</v>
      </c>
      <c r="D47" s="20">
        <f t="shared" si="26"/>
        <v>1021515.6499999999</v>
      </c>
      <c r="E47" s="20">
        <f t="shared" si="26"/>
        <v>1517621.5</v>
      </c>
      <c r="F47" s="20">
        <f t="shared" si="26"/>
        <v>1977236.27</v>
      </c>
      <c r="G47" s="20">
        <f t="shared" si="26"/>
        <v>2498751.29</v>
      </c>
      <c r="H47" s="20">
        <f t="shared" si="26"/>
        <v>3074884.44</v>
      </c>
      <c r="I47" s="20">
        <f t="shared" si="26"/>
        <v>3490199.51</v>
      </c>
      <c r="J47" s="20">
        <f t="shared" si="26"/>
        <v>4032542.1399999997</v>
      </c>
      <c r="K47" s="20">
        <f t="shared" si="26"/>
        <v>4595137.13</v>
      </c>
      <c r="L47" s="20">
        <f t="shared" si="26"/>
        <v>5087244.7700000005</v>
      </c>
      <c r="M47" s="20">
        <f t="shared" si="26"/>
        <v>5739957.0300000003</v>
      </c>
      <c r="N47" s="20">
        <f t="shared" si="26"/>
        <v>5998903.8100000005</v>
      </c>
    </row>
    <row r="48" spans="1:15" x14ac:dyDescent="0.3">
      <c r="A48" s="7" t="s">
        <v>577</v>
      </c>
      <c r="B48" s="20">
        <f>MEDIAN(B24:B31)</f>
        <v>229181.47500000001</v>
      </c>
      <c r="C48" s="20">
        <f t="shared" ref="C48:N48" si="27">MEDIAN(C24:C31)</f>
        <v>633144.32999999996</v>
      </c>
      <c r="D48" s="20">
        <f t="shared" si="27"/>
        <v>1141015.71</v>
      </c>
      <c r="E48" s="20">
        <f t="shared" si="27"/>
        <v>1688402.72</v>
      </c>
      <c r="F48" s="20">
        <f t="shared" si="27"/>
        <v>2124152.6950000003</v>
      </c>
      <c r="G48" s="20">
        <f t="shared" si="27"/>
        <v>2677550.4850000003</v>
      </c>
      <c r="H48" s="20">
        <f t="shared" si="27"/>
        <v>3242914.6349999998</v>
      </c>
      <c r="I48" s="20">
        <f t="shared" si="27"/>
        <v>3715479.77</v>
      </c>
      <c r="J48" s="20">
        <f t="shared" si="27"/>
        <v>4234948.53</v>
      </c>
      <c r="K48" s="20">
        <f t="shared" si="27"/>
        <v>4778510.99</v>
      </c>
      <c r="L48" s="20">
        <f t="shared" si="27"/>
        <v>5286595.7750000004</v>
      </c>
      <c r="M48" s="20">
        <f t="shared" si="27"/>
        <v>5848189.3950000005</v>
      </c>
      <c r="N48" s="20">
        <f t="shared" si="27"/>
        <v>6160121.8600000003</v>
      </c>
    </row>
    <row r="49" spans="1:14" x14ac:dyDescent="0.3">
      <c r="A49" s="7" t="s">
        <v>578</v>
      </c>
      <c r="B49" s="20">
        <f>MAX(B24:B31)</f>
        <v>278717.65999999997</v>
      </c>
      <c r="C49" s="20">
        <f t="shared" ref="C49:N49" si="28">MAX(C24:C31)</f>
        <v>729849.64999999991</v>
      </c>
      <c r="D49" s="20">
        <f t="shared" si="28"/>
        <v>1275368.96</v>
      </c>
      <c r="E49" s="20">
        <f t="shared" si="28"/>
        <v>1758121.0899999999</v>
      </c>
      <c r="F49" s="20">
        <f t="shared" si="28"/>
        <v>2272673.08</v>
      </c>
      <c r="G49" s="20">
        <f t="shared" si="28"/>
        <v>2828848.1100000003</v>
      </c>
      <c r="H49" s="20">
        <f t="shared" si="28"/>
        <v>3323257.7600000002</v>
      </c>
      <c r="I49" s="20">
        <f t="shared" si="28"/>
        <v>3797325.83</v>
      </c>
      <c r="J49" s="20">
        <f t="shared" si="28"/>
        <v>4502188.24</v>
      </c>
      <c r="K49" s="20">
        <f t="shared" si="28"/>
        <v>4974123.6400000006</v>
      </c>
      <c r="L49" s="20">
        <f t="shared" si="28"/>
        <v>5575516.790000001</v>
      </c>
      <c r="M49" s="20">
        <f t="shared" si="28"/>
        <v>6054850.6000000006</v>
      </c>
      <c r="N49" s="20">
        <f t="shared" si="28"/>
        <v>6333091.0000000009</v>
      </c>
    </row>
    <row r="51" spans="1:14" x14ac:dyDescent="0.3">
      <c r="A51" s="7" t="s">
        <v>579</v>
      </c>
    </row>
    <row r="54" spans="1:14" x14ac:dyDescent="0.3">
      <c r="B54" s="7" t="s">
        <v>580</v>
      </c>
      <c r="C54" s="7" t="s">
        <v>581</v>
      </c>
      <c r="D54" s="7" t="s">
        <v>582</v>
      </c>
      <c r="E54" s="7" t="s">
        <v>583</v>
      </c>
      <c r="F54" s="7" t="s">
        <v>584</v>
      </c>
      <c r="G54" s="7" t="s">
        <v>585</v>
      </c>
      <c r="H54" s="7" t="s">
        <v>586</v>
      </c>
      <c r="I54" s="7" t="s">
        <v>587</v>
      </c>
      <c r="J54" s="7" t="s">
        <v>588</v>
      </c>
      <c r="K54" s="7" t="s">
        <v>589</v>
      </c>
      <c r="L54" s="7" t="s">
        <v>590</v>
      </c>
      <c r="M54" s="7" t="s">
        <v>591</v>
      </c>
      <c r="N54" s="7" t="s">
        <v>580</v>
      </c>
    </row>
    <row r="57" spans="1:14" x14ac:dyDescent="0.3">
      <c r="A57" s="7" t="s">
        <v>594</v>
      </c>
    </row>
    <row r="59" spans="1:14" x14ac:dyDescent="0.3">
      <c r="A59" s="7">
        <v>2015</v>
      </c>
      <c r="B59" s="7" t="s">
        <v>595</v>
      </c>
      <c r="C59" s="7" t="s">
        <v>599</v>
      </c>
      <c r="D59" s="7">
        <v>137</v>
      </c>
      <c r="E59" s="7" t="s">
        <v>599</v>
      </c>
      <c r="F59" s="7">
        <v>68</v>
      </c>
      <c r="G59" s="7">
        <v>25</v>
      </c>
      <c r="H59" s="7">
        <v>17</v>
      </c>
      <c r="I59" s="7">
        <v>10</v>
      </c>
      <c r="J59" s="7">
        <v>9</v>
      </c>
      <c r="K59" s="7">
        <v>8</v>
      </c>
      <c r="L59" s="7">
        <v>8</v>
      </c>
      <c r="M59" s="7">
        <v>4</v>
      </c>
      <c r="N59" s="7">
        <v>4</v>
      </c>
    </row>
    <row r="60" spans="1:14" x14ac:dyDescent="0.3">
      <c r="A60" s="7">
        <v>2016</v>
      </c>
      <c r="B60" s="7" t="s">
        <v>595</v>
      </c>
      <c r="C60" s="7">
        <v>179</v>
      </c>
      <c r="D60" s="7">
        <v>112</v>
      </c>
      <c r="E60" s="7">
        <v>73</v>
      </c>
      <c r="F60" s="7">
        <v>52</v>
      </c>
      <c r="G60" s="7">
        <v>35</v>
      </c>
      <c r="H60" s="7">
        <v>25</v>
      </c>
      <c r="I60" s="7">
        <v>17</v>
      </c>
      <c r="J60" s="7">
        <v>11</v>
      </c>
      <c r="K60" s="7">
        <v>6</v>
      </c>
      <c r="L60" s="7">
        <v>4</v>
      </c>
      <c r="M60" s="7">
        <v>0</v>
      </c>
      <c r="N60" s="7">
        <v>0</v>
      </c>
    </row>
    <row r="61" spans="1:14" x14ac:dyDescent="0.3">
      <c r="A61" s="7">
        <v>2017</v>
      </c>
      <c r="B61" s="7" t="s">
        <v>595</v>
      </c>
      <c r="C61" s="7">
        <v>177</v>
      </c>
      <c r="D61" s="7">
        <v>105</v>
      </c>
      <c r="E61" s="7">
        <v>65</v>
      </c>
      <c r="F61" s="7">
        <v>43</v>
      </c>
      <c r="G61" s="7">
        <v>28</v>
      </c>
      <c r="H61" s="7">
        <v>18</v>
      </c>
      <c r="I61" s="7">
        <v>15</v>
      </c>
      <c r="J61" s="7">
        <v>10</v>
      </c>
      <c r="K61" s="7">
        <v>7</v>
      </c>
      <c r="L61" s="7">
        <v>3</v>
      </c>
      <c r="M61" s="7">
        <v>2</v>
      </c>
      <c r="N61" s="7">
        <v>1</v>
      </c>
    </row>
    <row r="62" spans="1:14" x14ac:dyDescent="0.3">
      <c r="A62" s="7">
        <v>2018</v>
      </c>
      <c r="B62" s="7" t="s">
        <v>595</v>
      </c>
      <c r="C62" s="7">
        <v>178</v>
      </c>
      <c r="D62" s="7">
        <v>117</v>
      </c>
      <c r="E62" s="7">
        <v>72</v>
      </c>
      <c r="F62" s="7">
        <v>50</v>
      </c>
      <c r="H62" s="7">
        <v>23</v>
      </c>
      <c r="I62" s="7">
        <v>22</v>
      </c>
      <c r="J62" s="7">
        <v>19</v>
      </c>
      <c r="K62" s="7">
        <v>17</v>
      </c>
      <c r="L62" s="7">
        <v>9</v>
      </c>
      <c r="M62" s="7">
        <v>9</v>
      </c>
    </row>
    <row r="64" spans="1:14" x14ac:dyDescent="0.3">
      <c r="A64" s="7" t="s">
        <v>596</v>
      </c>
    </row>
    <row r="66" spans="1:14" x14ac:dyDescent="0.3">
      <c r="A66" s="7">
        <v>2015</v>
      </c>
      <c r="B66" s="7" t="s">
        <v>595</v>
      </c>
      <c r="C66" s="7" t="s">
        <v>599</v>
      </c>
      <c r="D66" s="7">
        <v>140</v>
      </c>
      <c r="E66" s="7" t="s">
        <v>599</v>
      </c>
      <c r="F66" s="7">
        <v>205</v>
      </c>
      <c r="G66" s="7">
        <v>198</v>
      </c>
      <c r="H66" s="7">
        <v>237</v>
      </c>
      <c r="I66" s="7">
        <v>223</v>
      </c>
      <c r="J66" s="7">
        <v>199</v>
      </c>
      <c r="K66" s="7">
        <v>205</v>
      </c>
      <c r="L66" s="7">
        <v>177</v>
      </c>
      <c r="M66" s="7">
        <v>93</v>
      </c>
      <c r="N66" s="7">
        <v>93</v>
      </c>
    </row>
    <row r="67" spans="1:14" x14ac:dyDescent="0.3">
      <c r="A67" s="7">
        <v>2016</v>
      </c>
      <c r="B67" s="7" t="s">
        <v>595</v>
      </c>
      <c r="C67" s="7">
        <v>116</v>
      </c>
      <c r="D67" s="7">
        <v>150</v>
      </c>
      <c r="E67" s="7">
        <v>208</v>
      </c>
      <c r="F67" s="7">
        <v>224</v>
      </c>
      <c r="G67" s="7">
        <v>215</v>
      </c>
      <c r="H67" s="7">
        <v>241</v>
      </c>
      <c r="I67" s="7">
        <v>240</v>
      </c>
      <c r="J67" s="7">
        <v>211</v>
      </c>
      <c r="K67" s="7">
        <v>212</v>
      </c>
      <c r="L67" s="7">
        <v>180</v>
      </c>
      <c r="M67" s="7">
        <v>93</v>
      </c>
      <c r="N67" s="7">
        <v>93</v>
      </c>
    </row>
    <row r="68" spans="1:14" x14ac:dyDescent="0.3">
      <c r="A68" s="7">
        <v>2017</v>
      </c>
      <c r="B68" s="7" t="s">
        <v>595</v>
      </c>
      <c r="C68" s="7">
        <v>107</v>
      </c>
      <c r="D68" s="7">
        <v>136</v>
      </c>
      <c r="E68" s="7">
        <v>194</v>
      </c>
      <c r="F68" s="7">
        <v>193</v>
      </c>
      <c r="G68" s="7">
        <v>186</v>
      </c>
      <c r="H68" s="7">
        <v>202</v>
      </c>
      <c r="I68" s="7">
        <v>202</v>
      </c>
      <c r="J68" s="7">
        <v>203</v>
      </c>
      <c r="K68" s="7">
        <v>198</v>
      </c>
      <c r="L68" s="7">
        <v>167</v>
      </c>
      <c r="M68" s="7">
        <v>122</v>
      </c>
      <c r="N68" s="7">
        <v>79</v>
      </c>
    </row>
    <row r="69" spans="1:14" x14ac:dyDescent="0.3">
      <c r="A69" s="7">
        <v>2018</v>
      </c>
      <c r="B69" s="7" t="s">
        <v>595</v>
      </c>
      <c r="C69" s="7">
        <v>125</v>
      </c>
      <c r="D69" s="7">
        <v>120</v>
      </c>
      <c r="E69" s="7">
        <v>195</v>
      </c>
      <c r="F69" s="7">
        <v>216</v>
      </c>
      <c r="H69" s="7">
        <v>220</v>
      </c>
      <c r="I69" s="7">
        <v>214</v>
      </c>
      <c r="J69" s="7">
        <v>213</v>
      </c>
      <c r="K69" s="7">
        <v>206</v>
      </c>
      <c r="L69" s="7">
        <v>195</v>
      </c>
      <c r="M69" s="7">
        <v>134</v>
      </c>
    </row>
    <row r="71" spans="1:14" x14ac:dyDescent="0.3">
      <c r="A71" s="7" t="s">
        <v>597</v>
      </c>
    </row>
    <row r="73" spans="1:14" x14ac:dyDescent="0.3">
      <c r="A73" s="7">
        <v>2015</v>
      </c>
      <c r="B73" s="7" t="s">
        <v>595</v>
      </c>
      <c r="C73" s="7" t="s">
        <v>599</v>
      </c>
      <c r="D73" s="7">
        <v>138</v>
      </c>
      <c r="E73" s="7" t="s">
        <v>599</v>
      </c>
      <c r="F73" s="7">
        <v>106</v>
      </c>
      <c r="G73" s="7">
        <v>134</v>
      </c>
      <c r="H73" s="7">
        <v>94</v>
      </c>
      <c r="I73" s="7">
        <v>111</v>
      </c>
      <c r="J73" s="7">
        <v>120</v>
      </c>
      <c r="K73" s="7">
        <v>90</v>
      </c>
      <c r="L73" s="7">
        <v>68</v>
      </c>
      <c r="M73" s="7" t="s">
        <v>595</v>
      </c>
      <c r="N73" s="7" t="s">
        <v>595</v>
      </c>
    </row>
    <row r="74" spans="1:14" x14ac:dyDescent="0.3">
      <c r="A74" s="7">
        <v>2016</v>
      </c>
      <c r="B74" s="7" t="s">
        <v>595</v>
      </c>
      <c r="C74" s="7">
        <v>100</v>
      </c>
      <c r="D74" s="7">
        <v>124</v>
      </c>
      <c r="E74" s="7">
        <v>112</v>
      </c>
      <c r="F74" s="7">
        <v>119</v>
      </c>
      <c r="G74" s="7">
        <v>140</v>
      </c>
      <c r="H74" s="7">
        <v>125</v>
      </c>
      <c r="I74" s="7">
        <v>129</v>
      </c>
      <c r="J74" s="7">
        <v>135</v>
      </c>
      <c r="K74" s="7">
        <v>102</v>
      </c>
      <c r="L74" s="7">
        <v>71</v>
      </c>
      <c r="M74" s="7" t="s">
        <v>595</v>
      </c>
      <c r="N74" s="7" t="s">
        <v>595</v>
      </c>
    </row>
    <row r="75" spans="1:14" x14ac:dyDescent="0.3">
      <c r="A75" s="7">
        <v>2017</v>
      </c>
      <c r="B75" s="7" t="s">
        <v>595</v>
      </c>
      <c r="C75" s="7">
        <v>112</v>
      </c>
      <c r="D75" s="7">
        <v>153</v>
      </c>
      <c r="E75" s="7">
        <v>124</v>
      </c>
      <c r="F75" s="7">
        <v>145</v>
      </c>
      <c r="G75" s="7">
        <v>176</v>
      </c>
      <c r="H75" s="7">
        <v>166</v>
      </c>
      <c r="I75" s="7">
        <v>152</v>
      </c>
      <c r="J75" s="7">
        <v>143</v>
      </c>
      <c r="K75" s="7">
        <v>121</v>
      </c>
      <c r="L75" s="7">
        <v>87</v>
      </c>
      <c r="M75" s="7" t="s">
        <v>595</v>
      </c>
      <c r="N75" s="7" t="s">
        <v>595</v>
      </c>
    </row>
    <row r="76" spans="1:14" x14ac:dyDescent="0.3">
      <c r="A76" s="7">
        <v>2018</v>
      </c>
      <c r="B76" s="7" t="s">
        <v>595</v>
      </c>
      <c r="C76" s="7">
        <v>99</v>
      </c>
      <c r="D76" s="7">
        <v>144</v>
      </c>
      <c r="E76" s="7">
        <v>145</v>
      </c>
      <c r="F76" s="7">
        <v>140</v>
      </c>
      <c r="H76" s="7">
        <v>150</v>
      </c>
      <c r="I76" s="7">
        <v>143</v>
      </c>
      <c r="J76" s="7">
        <v>137</v>
      </c>
      <c r="K76" s="7">
        <v>115</v>
      </c>
      <c r="L76" s="7">
        <v>85</v>
      </c>
      <c r="M76" s="7" t="s">
        <v>595</v>
      </c>
    </row>
    <row r="78" spans="1:14" x14ac:dyDescent="0.3">
      <c r="A78" s="7" t="s">
        <v>598</v>
      </c>
    </row>
    <row r="80" spans="1:14" x14ac:dyDescent="0.3">
      <c r="A80" s="7">
        <v>2015</v>
      </c>
      <c r="B80" s="7" t="s">
        <v>595</v>
      </c>
      <c r="C80" s="7" t="s">
        <v>599</v>
      </c>
      <c r="D80" s="7">
        <v>4</v>
      </c>
      <c r="E80" s="7" t="s">
        <v>599</v>
      </c>
      <c r="F80" s="7">
        <v>10</v>
      </c>
      <c r="G80" s="7">
        <v>18</v>
      </c>
      <c r="H80" s="7">
        <v>23</v>
      </c>
      <c r="I80" s="7">
        <v>28</v>
      </c>
      <c r="J80" s="7">
        <v>37</v>
      </c>
      <c r="K80" s="7">
        <v>75</v>
      </c>
      <c r="L80" s="7">
        <v>127</v>
      </c>
      <c r="M80" s="7">
        <v>288</v>
      </c>
      <c r="N80" s="7">
        <v>288</v>
      </c>
    </row>
    <row r="81" spans="1:14" x14ac:dyDescent="0.3">
      <c r="A81" s="7">
        <v>2016</v>
      </c>
      <c r="B81" s="7" t="s">
        <v>595</v>
      </c>
      <c r="C81" s="7">
        <v>5</v>
      </c>
      <c r="D81" s="7">
        <v>8</v>
      </c>
      <c r="E81" s="7">
        <v>9</v>
      </c>
      <c r="F81" s="7">
        <v>9</v>
      </c>
      <c r="G81" s="7">
        <v>12</v>
      </c>
      <c r="H81" s="7">
        <v>17</v>
      </c>
      <c r="I81" s="7">
        <v>21</v>
      </c>
      <c r="J81" s="7">
        <v>45</v>
      </c>
      <c r="K81" s="7">
        <v>83</v>
      </c>
      <c r="L81" s="7">
        <v>146</v>
      </c>
      <c r="M81" s="7">
        <v>326</v>
      </c>
      <c r="N81" s="7">
        <v>326</v>
      </c>
    </row>
    <row r="82" spans="1:14" x14ac:dyDescent="0.3">
      <c r="A82" s="7">
        <v>2017</v>
      </c>
      <c r="B82" s="7" t="s">
        <v>595</v>
      </c>
      <c r="C82" s="7">
        <v>7</v>
      </c>
      <c r="D82" s="7">
        <v>11</v>
      </c>
      <c r="E82" s="7">
        <v>15</v>
      </c>
      <c r="F82" s="7">
        <v>17</v>
      </c>
      <c r="G82" s="7">
        <v>20</v>
      </c>
      <c r="H82" s="7">
        <v>28</v>
      </c>
      <c r="I82" s="7">
        <v>35</v>
      </c>
      <c r="J82" s="7">
        <v>54</v>
      </c>
      <c r="K82" s="7">
        <v>84</v>
      </c>
      <c r="L82" s="7">
        <v>152</v>
      </c>
      <c r="M82" s="7">
        <v>287</v>
      </c>
      <c r="N82" s="7">
        <v>331</v>
      </c>
    </row>
    <row r="83" spans="1:14" x14ac:dyDescent="0.3">
      <c r="A83" s="7">
        <v>2018</v>
      </c>
      <c r="B83" s="7" t="s">
        <v>595</v>
      </c>
      <c r="C83" s="7">
        <v>6</v>
      </c>
      <c r="D83" s="7">
        <v>9</v>
      </c>
      <c r="E83" s="7">
        <v>12</v>
      </c>
      <c r="F83" s="7">
        <v>14</v>
      </c>
      <c r="H83" s="7">
        <v>30</v>
      </c>
      <c r="I83" s="7">
        <v>39</v>
      </c>
      <c r="J83" s="7">
        <v>54</v>
      </c>
      <c r="K83" s="7">
        <v>83</v>
      </c>
      <c r="L83" s="7">
        <v>133</v>
      </c>
      <c r="M83" s="7">
        <v>280</v>
      </c>
    </row>
  </sheetData>
  <conditionalFormatting sqref="B24:B33 C31:N33">
    <cfRule type="colorScale" priority="1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C24:C30">
    <cfRule type="colorScale" priority="1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D24:D30">
    <cfRule type="colorScale" priority="1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F24:F30">
    <cfRule type="colorScale" priority="9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G24:G30">
    <cfRule type="colorScale" priority="8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H24:H30 I30:N30">
    <cfRule type="colorScale" priority="7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I24:I29">
    <cfRule type="colorScale" priority="6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J24:J29">
    <cfRule type="colorScale" priority="5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K24:K29">
    <cfRule type="colorScale" priority="4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L24:L29">
    <cfRule type="colorScale" priority="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M24:M29">
    <cfRule type="colorScale" priority="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N24:N29">
    <cfRule type="colorScale" priority="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workbookViewId="0">
      <selection activeCell="G58" sqref="G58"/>
    </sheetView>
  </sheetViews>
  <sheetFormatPr defaultColWidth="9" defaultRowHeight="14.5" x14ac:dyDescent="0.35"/>
  <cols>
    <col min="1" max="1" width="69.5" style="104" customWidth="1"/>
    <col min="2" max="2" width="9.75" style="104" customWidth="1"/>
    <col min="3" max="6" width="8" style="104" customWidth="1"/>
    <col min="7" max="7" width="10.58203125" style="104" customWidth="1"/>
    <col min="8" max="8" width="8" style="104" customWidth="1"/>
    <col min="9" max="9" width="10.08203125" style="104" customWidth="1"/>
    <col min="10" max="11" width="8" style="104" customWidth="1"/>
    <col min="12" max="12" width="10.5" style="104" customWidth="1"/>
    <col min="13" max="15" width="8" style="104" customWidth="1"/>
    <col min="16" max="16384" width="9" style="104"/>
  </cols>
  <sheetData>
    <row r="1" spans="1:15" x14ac:dyDescent="0.35">
      <c r="A1" s="103" t="s">
        <v>609</v>
      </c>
      <c r="B1" s="103" t="s">
        <v>1577</v>
      </c>
      <c r="G1" s="105"/>
      <c r="J1" s="105"/>
      <c r="N1" s="105"/>
      <c r="O1" s="105"/>
    </row>
    <row r="2" spans="1:15" x14ac:dyDescent="0.35">
      <c r="A2" s="104" t="s">
        <v>835</v>
      </c>
      <c r="B2" s="128">
        <v>500</v>
      </c>
      <c r="E2" s="106"/>
      <c r="G2" s="106"/>
      <c r="J2" s="106"/>
      <c r="N2" s="106"/>
      <c r="O2" s="106"/>
    </row>
    <row r="3" spans="1:15" x14ac:dyDescent="0.35">
      <c r="A3" s="104" t="s">
        <v>617</v>
      </c>
      <c r="B3" s="128">
        <v>322</v>
      </c>
      <c r="E3" s="106"/>
      <c r="G3" s="106"/>
      <c r="J3" s="106"/>
      <c r="N3" s="106"/>
      <c r="O3" s="106"/>
    </row>
    <row r="4" spans="1:15" x14ac:dyDescent="0.35">
      <c r="A4" s="104" t="s">
        <v>620</v>
      </c>
      <c r="B4" s="128">
        <v>1483</v>
      </c>
      <c r="E4" s="107"/>
      <c r="G4" s="106"/>
      <c r="J4" s="106"/>
      <c r="N4" s="106"/>
      <c r="O4" s="106"/>
    </row>
    <row r="5" spans="1:15" x14ac:dyDescent="0.35">
      <c r="A5" s="104" t="s">
        <v>1389</v>
      </c>
      <c r="B5" s="128">
        <v>1000</v>
      </c>
      <c r="E5" s="107"/>
      <c r="G5" s="107"/>
      <c r="J5" s="107"/>
      <c r="N5" s="107"/>
      <c r="O5" s="107"/>
    </row>
    <row r="6" spans="1:15" x14ac:dyDescent="0.35">
      <c r="A6" s="104" t="s">
        <v>622</v>
      </c>
      <c r="B6" s="128">
        <v>100</v>
      </c>
      <c r="E6" s="106"/>
      <c r="G6" s="106"/>
      <c r="J6" s="106"/>
      <c r="N6" s="106"/>
      <c r="O6" s="106"/>
    </row>
    <row r="7" spans="1:15" x14ac:dyDescent="0.35">
      <c r="A7" s="104" t="s">
        <v>624</v>
      </c>
      <c r="B7" s="128">
        <v>236</v>
      </c>
      <c r="E7" s="106"/>
      <c r="G7" s="106"/>
      <c r="J7" s="106"/>
      <c r="N7" s="106"/>
      <c r="O7" s="106"/>
    </row>
    <row r="8" spans="1:15" x14ac:dyDescent="0.35">
      <c r="A8" s="104" t="s">
        <v>627</v>
      </c>
      <c r="B8" s="128">
        <v>711</v>
      </c>
      <c r="E8" s="106"/>
      <c r="G8" s="106"/>
      <c r="J8" s="106"/>
      <c r="N8" s="106"/>
      <c r="O8" s="106"/>
    </row>
    <row r="9" spans="1:15" x14ac:dyDescent="0.35">
      <c r="A9" s="104" t="s">
        <v>637</v>
      </c>
      <c r="B9" s="128">
        <v>3778</v>
      </c>
      <c r="E9" s="107"/>
      <c r="G9" s="106"/>
      <c r="J9" s="106"/>
      <c r="N9" s="106"/>
      <c r="O9" s="106"/>
    </row>
    <row r="10" spans="1:15" x14ac:dyDescent="0.35">
      <c r="A10" s="104" t="s">
        <v>639</v>
      </c>
      <c r="B10" s="128">
        <v>4000</v>
      </c>
      <c r="E10" s="106"/>
      <c r="G10" s="106"/>
      <c r="J10" s="106"/>
      <c r="N10" s="106"/>
      <c r="O10" s="106"/>
    </row>
    <row r="11" spans="1:15" x14ac:dyDescent="0.35">
      <c r="A11" s="104" t="s">
        <v>640</v>
      </c>
      <c r="B11" s="128">
        <v>1950</v>
      </c>
      <c r="E11" s="107"/>
      <c r="G11" s="106"/>
      <c r="J11" s="106"/>
      <c r="N11" s="106"/>
      <c r="O11" s="106"/>
    </row>
    <row r="12" spans="1:15" x14ac:dyDescent="0.35">
      <c r="A12" s="104" t="s">
        <v>642</v>
      </c>
      <c r="B12" s="128">
        <v>1063</v>
      </c>
      <c r="E12" s="107"/>
      <c r="G12" s="106"/>
      <c r="J12" s="106"/>
      <c r="N12" s="106"/>
      <c r="O12" s="106"/>
    </row>
    <row r="13" spans="1:15" x14ac:dyDescent="0.35">
      <c r="A13" s="104" t="s">
        <v>643</v>
      </c>
      <c r="B13" s="128">
        <v>5000</v>
      </c>
      <c r="E13" s="107"/>
      <c r="G13" s="106"/>
      <c r="J13" s="106"/>
      <c r="N13" s="106"/>
      <c r="O13" s="106"/>
    </row>
    <row r="14" spans="1:15" x14ac:dyDescent="0.35">
      <c r="A14" s="104" t="s">
        <v>1458</v>
      </c>
      <c r="B14" s="128">
        <v>2253</v>
      </c>
      <c r="E14" s="107"/>
      <c r="G14" s="106"/>
      <c r="J14" s="106"/>
      <c r="N14" s="106"/>
      <c r="O14" s="106"/>
    </row>
    <row r="15" spans="1:15" x14ac:dyDescent="0.35">
      <c r="A15" s="104" t="s">
        <v>658</v>
      </c>
      <c r="B15" s="128">
        <v>2750</v>
      </c>
      <c r="E15" s="106"/>
      <c r="G15" s="106"/>
      <c r="J15" s="106"/>
      <c r="N15" s="106"/>
      <c r="O15" s="106"/>
    </row>
    <row r="16" spans="1:15" x14ac:dyDescent="0.35">
      <c r="A16" s="104" t="s">
        <v>659</v>
      </c>
      <c r="B16" s="128">
        <v>2363</v>
      </c>
      <c r="E16" s="106"/>
      <c r="G16" s="106"/>
      <c r="J16" s="106"/>
      <c r="N16" s="106"/>
      <c r="O16" s="106"/>
    </row>
    <row r="17" spans="1:15" x14ac:dyDescent="0.35">
      <c r="A17" s="104" t="s">
        <v>661</v>
      </c>
      <c r="B17" s="128">
        <v>500</v>
      </c>
      <c r="E17" s="106"/>
      <c r="G17" s="106"/>
      <c r="J17" s="106"/>
      <c r="N17" s="106"/>
      <c r="O17" s="106"/>
    </row>
    <row r="18" spans="1:15" x14ac:dyDescent="0.35">
      <c r="A18" s="104" t="s">
        <v>668</v>
      </c>
      <c r="B18" s="128">
        <v>500</v>
      </c>
      <c r="E18" s="106"/>
      <c r="G18" s="106"/>
      <c r="J18" s="106"/>
      <c r="N18" s="106"/>
      <c r="O18" s="106"/>
    </row>
    <row r="19" spans="1:15" x14ac:dyDescent="0.35">
      <c r="A19" s="104" t="s">
        <v>680</v>
      </c>
      <c r="B19" s="128">
        <v>50</v>
      </c>
      <c r="E19" s="106"/>
      <c r="G19" s="106"/>
      <c r="J19" s="106"/>
      <c r="N19" s="106"/>
      <c r="O19" s="106"/>
    </row>
    <row r="20" spans="1:15" x14ac:dyDescent="0.35">
      <c r="A20" s="104" t="s">
        <v>686</v>
      </c>
      <c r="B20" s="128">
        <v>570</v>
      </c>
      <c r="E20" s="107"/>
      <c r="G20" s="106"/>
      <c r="J20" s="106"/>
      <c r="N20" s="106"/>
      <c r="O20" s="106"/>
    </row>
    <row r="21" spans="1:15" x14ac:dyDescent="0.35">
      <c r="A21" s="104" t="s">
        <v>688</v>
      </c>
      <c r="B21" s="128">
        <v>1000</v>
      </c>
      <c r="E21" s="107"/>
      <c r="G21" s="106"/>
      <c r="J21" s="106"/>
      <c r="N21" s="106"/>
      <c r="O21" s="106"/>
    </row>
    <row r="22" spans="1:15" x14ac:dyDescent="0.35">
      <c r="A22" s="104" t="s">
        <v>689</v>
      </c>
      <c r="B22" s="128">
        <v>539</v>
      </c>
      <c r="E22" s="107"/>
      <c r="G22" s="106"/>
      <c r="J22" s="106"/>
      <c r="N22" s="106"/>
      <c r="O22" s="106"/>
    </row>
    <row r="23" spans="1:15" x14ac:dyDescent="0.35">
      <c r="A23" s="104" t="s">
        <v>1402</v>
      </c>
      <c r="B23" s="128">
        <v>1545</v>
      </c>
      <c r="E23" s="107"/>
      <c r="G23" s="106"/>
      <c r="J23" s="106"/>
      <c r="N23" s="106"/>
      <c r="O23" s="106"/>
    </row>
    <row r="24" spans="1:15" x14ac:dyDescent="0.35">
      <c r="A24" s="104" t="s">
        <v>690</v>
      </c>
      <c r="B24" s="128">
        <v>250</v>
      </c>
      <c r="E24" s="106"/>
      <c r="G24" s="106"/>
      <c r="J24" s="106"/>
      <c r="N24" s="106"/>
      <c r="O24" s="106"/>
    </row>
    <row r="25" spans="1:15" x14ac:dyDescent="0.35">
      <c r="A25" s="104" t="s">
        <v>692</v>
      </c>
      <c r="B25" s="128">
        <v>1441</v>
      </c>
      <c r="E25" s="106"/>
      <c r="G25" s="106"/>
      <c r="J25" s="106"/>
      <c r="N25" s="106"/>
      <c r="O25" s="106"/>
    </row>
    <row r="26" spans="1:15" x14ac:dyDescent="0.35">
      <c r="A26" s="104" t="s">
        <v>693</v>
      </c>
      <c r="B26" s="128">
        <v>532</v>
      </c>
      <c r="E26" s="106"/>
      <c r="G26" s="106"/>
      <c r="J26" s="106"/>
      <c r="N26" s="106"/>
      <c r="O26" s="106"/>
    </row>
    <row r="27" spans="1:15" x14ac:dyDescent="0.35">
      <c r="A27" s="104" t="s">
        <v>699</v>
      </c>
      <c r="B27" s="128">
        <v>2000</v>
      </c>
      <c r="E27" s="107"/>
      <c r="G27" s="106"/>
      <c r="J27" s="106"/>
      <c r="N27" s="106"/>
      <c r="O27" s="106"/>
    </row>
    <row r="28" spans="1:15" x14ac:dyDescent="0.35">
      <c r="A28" s="104" t="s">
        <v>700</v>
      </c>
      <c r="B28" s="128">
        <v>6352</v>
      </c>
      <c r="E28" s="107"/>
      <c r="G28" s="106"/>
      <c r="J28" s="106"/>
      <c r="N28" s="106"/>
      <c r="O28" s="106"/>
    </row>
    <row r="29" spans="1:15" x14ac:dyDescent="0.35">
      <c r="A29" s="104" t="s">
        <v>701</v>
      </c>
      <c r="B29" s="128">
        <v>6463</v>
      </c>
      <c r="E29" s="107"/>
      <c r="G29" s="106"/>
      <c r="J29" s="106"/>
      <c r="N29" s="106"/>
      <c r="O29" s="106"/>
    </row>
    <row r="30" spans="1:15" x14ac:dyDescent="0.35">
      <c r="A30" s="104" t="s">
        <v>709</v>
      </c>
      <c r="B30" s="128">
        <v>400</v>
      </c>
      <c r="E30" s="107"/>
      <c r="G30" s="106"/>
      <c r="J30" s="106"/>
      <c r="N30" s="106"/>
      <c r="O30" s="106"/>
    </row>
    <row r="31" spans="1:15" x14ac:dyDescent="0.35">
      <c r="A31" s="104" t="s">
        <v>711</v>
      </c>
      <c r="B31" s="128">
        <v>500</v>
      </c>
      <c r="E31" s="106"/>
      <c r="G31" s="106"/>
      <c r="J31" s="106"/>
      <c r="N31" s="106"/>
      <c r="O31" s="106"/>
    </row>
    <row r="32" spans="1:15" x14ac:dyDescent="0.35">
      <c r="A32" s="104" t="s">
        <v>712</v>
      </c>
      <c r="B32" s="128">
        <v>250</v>
      </c>
      <c r="E32" s="107"/>
      <c r="G32" s="106"/>
      <c r="J32" s="106"/>
      <c r="N32" s="106"/>
      <c r="O32" s="106"/>
    </row>
    <row r="33" spans="1:15" x14ac:dyDescent="0.35">
      <c r="A33" s="104" t="s">
        <v>1549</v>
      </c>
      <c r="B33" s="128">
        <v>3000</v>
      </c>
      <c r="E33" s="107"/>
      <c r="G33" s="107"/>
      <c r="J33" s="107"/>
      <c r="N33" s="107"/>
      <c r="O33" s="107"/>
    </row>
    <row r="34" spans="1:15" x14ac:dyDescent="0.35">
      <c r="A34" s="104" t="s">
        <v>724</v>
      </c>
      <c r="B34" s="128">
        <v>828</v>
      </c>
      <c r="E34" s="106"/>
      <c r="G34" s="106"/>
      <c r="J34" s="106"/>
      <c r="N34" s="106"/>
      <c r="O34" s="106"/>
    </row>
    <row r="35" spans="1:15" x14ac:dyDescent="0.35">
      <c r="A35" s="104" t="s">
        <v>725</v>
      </c>
      <c r="B35" s="128">
        <v>386</v>
      </c>
      <c r="E35" s="106"/>
      <c r="G35" s="106"/>
      <c r="J35" s="106"/>
      <c r="N35" s="106"/>
      <c r="O35" s="106"/>
    </row>
    <row r="36" spans="1:15" x14ac:dyDescent="0.35">
      <c r="A36" s="104" t="s">
        <v>726</v>
      </c>
      <c r="B36" s="128">
        <v>5132</v>
      </c>
      <c r="E36" s="107"/>
      <c r="G36" s="106"/>
      <c r="J36" s="106"/>
      <c r="N36" s="106"/>
      <c r="O36" s="106"/>
    </row>
    <row r="37" spans="1:15" x14ac:dyDescent="0.35">
      <c r="A37" s="104" t="s">
        <v>1551</v>
      </c>
      <c r="B37" s="128">
        <v>3000</v>
      </c>
      <c r="E37" s="107"/>
      <c r="G37" s="106"/>
      <c r="J37" s="106"/>
      <c r="N37" s="106"/>
      <c r="O37" s="106"/>
    </row>
    <row r="38" spans="1:15" x14ac:dyDescent="0.35">
      <c r="A38" s="104" t="s">
        <v>1424</v>
      </c>
      <c r="B38" s="128">
        <v>500</v>
      </c>
      <c r="E38" s="107"/>
      <c r="G38" s="106"/>
      <c r="J38" s="106"/>
      <c r="N38" s="106"/>
      <c r="O38" s="106"/>
    </row>
    <row r="39" spans="1:15" x14ac:dyDescent="0.35">
      <c r="A39" s="104" t="s">
        <v>733</v>
      </c>
      <c r="B39" s="128">
        <v>1569</v>
      </c>
      <c r="E39" s="106"/>
      <c r="G39" s="106"/>
      <c r="J39" s="106"/>
      <c r="N39" s="106"/>
      <c r="O39" s="106"/>
    </row>
    <row r="40" spans="1:15" x14ac:dyDescent="0.35">
      <c r="A40" s="104" t="s">
        <v>735</v>
      </c>
      <c r="B40" s="128">
        <v>1000</v>
      </c>
      <c r="E40" s="106"/>
      <c r="G40" s="106"/>
      <c r="J40" s="106"/>
      <c r="N40" s="106"/>
      <c r="O40" s="106"/>
    </row>
    <row r="41" spans="1:15" x14ac:dyDescent="0.35">
      <c r="A41" s="104" t="s">
        <v>1552</v>
      </c>
      <c r="B41" s="128">
        <v>200</v>
      </c>
      <c r="E41" s="106"/>
      <c r="G41" s="106"/>
      <c r="J41" s="106"/>
      <c r="N41" s="106"/>
      <c r="O41" s="106"/>
    </row>
    <row r="42" spans="1:15" x14ac:dyDescent="0.35">
      <c r="A42" s="104" t="s">
        <v>738</v>
      </c>
      <c r="B42" s="128">
        <v>1000</v>
      </c>
      <c r="E42" s="106"/>
      <c r="G42" s="106"/>
      <c r="J42" s="106"/>
      <c r="N42" s="106"/>
      <c r="O42" s="106"/>
    </row>
    <row r="43" spans="1:15" x14ac:dyDescent="0.35">
      <c r="A43" s="104" t="s">
        <v>1517</v>
      </c>
      <c r="B43" s="128">
        <v>2000</v>
      </c>
      <c r="E43" s="107"/>
      <c r="G43" s="106"/>
      <c r="J43" s="106"/>
      <c r="N43" s="106"/>
      <c r="O43" s="106"/>
    </row>
    <row r="44" spans="1:15" x14ac:dyDescent="0.35">
      <c r="A44" s="104" t="s">
        <v>1560</v>
      </c>
      <c r="B44" s="128">
        <v>500</v>
      </c>
      <c r="E44" s="106"/>
      <c r="G44" s="106"/>
      <c r="J44" s="106"/>
      <c r="N44" s="106"/>
      <c r="O44" s="106"/>
    </row>
    <row r="45" spans="1:15" x14ac:dyDescent="0.35">
      <c r="A45" s="104" t="s">
        <v>1521</v>
      </c>
      <c r="B45" s="128">
        <v>100</v>
      </c>
      <c r="E45" s="106"/>
      <c r="G45" s="106"/>
      <c r="J45" s="106"/>
      <c r="N45" s="106"/>
      <c r="O45" s="106"/>
    </row>
    <row r="46" spans="1:15" x14ac:dyDescent="0.35">
      <c r="A46" s="104" t="s">
        <v>772</v>
      </c>
      <c r="B46" s="128">
        <v>300</v>
      </c>
      <c r="E46" s="106"/>
      <c r="G46" s="106"/>
      <c r="J46" s="106"/>
      <c r="N46" s="106"/>
      <c r="O46" s="106"/>
    </row>
    <row r="47" spans="1:15" x14ac:dyDescent="0.35">
      <c r="A47" s="104" t="s">
        <v>641</v>
      </c>
      <c r="B47" s="128">
        <v>2742</v>
      </c>
      <c r="E47" s="107"/>
      <c r="G47" s="106"/>
      <c r="J47" s="106"/>
      <c r="N47" s="106"/>
      <c r="O47" s="106"/>
    </row>
    <row r="48" spans="1:15" x14ac:dyDescent="0.35">
      <c r="A48" s="104" t="s">
        <v>778</v>
      </c>
      <c r="B48" s="128">
        <v>1000</v>
      </c>
      <c r="E48" s="106"/>
      <c r="G48" s="106"/>
      <c r="J48" s="106"/>
      <c r="N48" s="106"/>
      <c r="O48" s="106"/>
    </row>
    <row r="49" spans="1:15" x14ac:dyDescent="0.35">
      <c r="A49" s="104" t="s">
        <v>783</v>
      </c>
      <c r="B49" s="128">
        <v>200</v>
      </c>
      <c r="E49" s="107"/>
      <c r="G49" s="106"/>
      <c r="J49" s="106"/>
      <c r="N49" s="106"/>
      <c r="O49" s="106"/>
    </row>
    <row r="50" spans="1:15" x14ac:dyDescent="0.35">
      <c r="A50" s="104" t="s">
        <v>784</v>
      </c>
      <c r="B50" s="128">
        <v>250</v>
      </c>
      <c r="E50" s="107"/>
      <c r="G50" s="106"/>
      <c r="J50" s="106"/>
      <c r="N50" s="106"/>
      <c r="O50" s="106"/>
    </row>
    <row r="51" spans="1:15" x14ac:dyDescent="0.35">
      <c r="A51" s="104" t="s">
        <v>791</v>
      </c>
      <c r="B51" s="128">
        <v>500</v>
      </c>
      <c r="E51" s="107"/>
      <c r="G51" s="106"/>
      <c r="J51" s="106"/>
      <c r="N51" s="106"/>
      <c r="O51" s="106"/>
    </row>
    <row r="52" spans="1:15" x14ac:dyDescent="0.35">
      <c r="A52" s="104" t="s">
        <v>792</v>
      </c>
      <c r="B52" s="128">
        <v>100</v>
      </c>
      <c r="E52" s="107"/>
      <c r="G52" s="106"/>
      <c r="J52" s="106"/>
      <c r="N52" s="106"/>
      <c r="O52" s="106"/>
    </row>
    <row r="53" spans="1:15" x14ac:dyDescent="0.35">
      <c r="A53" s="104" t="s">
        <v>793</v>
      </c>
      <c r="B53" s="128">
        <v>579</v>
      </c>
      <c r="E53" s="107"/>
      <c r="G53" s="106"/>
      <c r="J53" s="106"/>
      <c r="N53" s="106"/>
      <c r="O53" s="106"/>
    </row>
    <row r="54" spans="1:15" x14ac:dyDescent="0.35">
      <c r="A54" s="104" t="s">
        <v>815</v>
      </c>
      <c r="B54" s="128">
        <v>581</v>
      </c>
      <c r="E54" s="107"/>
      <c r="G54" s="106"/>
      <c r="J54" s="106"/>
      <c r="N54" s="106"/>
      <c r="O54" s="106"/>
    </row>
    <row r="55" spans="1:15" x14ac:dyDescent="0.35">
      <c r="A55" s="104" t="s">
        <v>820</v>
      </c>
      <c r="B55" s="128">
        <v>817</v>
      </c>
      <c r="E55" s="107"/>
      <c r="G55" s="106"/>
      <c r="J55" s="106"/>
      <c r="N55" s="106"/>
      <c r="O55" s="106"/>
    </row>
    <row r="56" spans="1:15" x14ac:dyDescent="0.35">
      <c r="A56" s="104" t="s">
        <v>1502</v>
      </c>
      <c r="B56" s="128">
        <v>2000</v>
      </c>
      <c r="E56" s="107"/>
      <c r="G56" s="106"/>
      <c r="J56" s="106"/>
      <c r="N56" s="106"/>
      <c r="O56" s="106"/>
    </row>
    <row r="57" spans="1:15" x14ac:dyDescent="0.35">
      <c r="A57" s="104" t="s">
        <v>1450</v>
      </c>
      <c r="B57" s="128">
        <v>710</v>
      </c>
      <c r="E57" s="106"/>
      <c r="G57" s="106"/>
      <c r="J57" s="106"/>
      <c r="N57" s="106"/>
      <c r="O57" s="106"/>
    </row>
    <row r="59" spans="1:15" x14ac:dyDescent="0.35">
      <c r="B59" s="128">
        <f>SUM(B2:B57)</f>
        <v>79395</v>
      </c>
    </row>
  </sheetData>
  <sortState xmlns:xlrd2="http://schemas.microsoft.com/office/spreadsheetml/2017/richdata2" ref="A2:B57">
    <sortCondition ref="A2:A5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P23:T23"/>
  <sheetViews>
    <sheetView topLeftCell="A5" workbookViewId="0">
      <selection activeCell="E36" sqref="E36"/>
    </sheetView>
  </sheetViews>
  <sheetFormatPr defaultRowHeight="14" x14ac:dyDescent="0.3"/>
  <cols>
    <col min="17" max="17" width="12" customWidth="1"/>
    <col min="18" max="18" width="1.75" customWidth="1"/>
    <col min="19" max="19" width="13.25" customWidth="1"/>
  </cols>
  <sheetData>
    <row r="23" spans="16:20" x14ac:dyDescent="0.3">
      <c r="P23">
        <v>15270</v>
      </c>
      <c r="Q23" t="s">
        <v>1645</v>
      </c>
      <c r="S23">
        <v>1730</v>
      </c>
      <c r="T23" t="s">
        <v>1646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54"/>
  <sheetViews>
    <sheetView topLeftCell="A2" zoomScaleNormal="100" workbookViewId="0">
      <selection activeCell="B22" sqref="B22:G22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38.33203125" style="33" customWidth="1"/>
    <col min="4" max="5" width="12" style="33" bestFit="1" customWidth="1"/>
    <col min="6" max="6" width="12.5" style="33" bestFit="1" customWidth="1"/>
    <col min="7" max="7" width="12.5" style="214" bestFit="1" customWidth="1"/>
    <col min="8" max="8" width="16.33203125" style="214" hidden="1" customWidth="1"/>
    <col min="9" max="9" width="9" style="33" hidden="1" customWidth="1"/>
    <col min="10" max="10" width="6.5" style="33" hidden="1" customWidth="1"/>
    <col min="11" max="11" width="19" style="33" hidden="1" customWidth="1"/>
    <col min="12" max="12" width="2.83203125" style="33" hidden="1" customWidth="1"/>
    <col min="13" max="13" width="9" style="33" hidden="1" customWidth="1"/>
    <col min="14" max="14" width="2.25" style="33" hidden="1" customWidth="1"/>
    <col min="15" max="15" width="16.75" style="33" hidden="1" customWidth="1"/>
    <col min="16" max="16" width="15.5" style="33" hidden="1" customWidth="1"/>
    <col min="17" max="17" width="13.83203125" style="33" hidden="1" customWidth="1"/>
    <col min="18" max="16384" width="8.58203125" style="33"/>
  </cols>
  <sheetData>
    <row r="1" spans="2:17" ht="14.5" thickBot="1" x14ac:dyDescent="0.35"/>
    <row r="2" spans="2:17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H2" s="409"/>
      <c r="N2" s="404" t="s">
        <v>554</v>
      </c>
    </row>
    <row r="3" spans="2:17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COUNTIF(H8:H47,"&gt;1")</f>
        <v>0</v>
      </c>
    </row>
    <row r="4" spans="2:17" s="32" customFormat="1" ht="18" thickBot="1" x14ac:dyDescent="0.4">
      <c r="B4" s="413"/>
      <c r="C4" s="414" t="s">
        <v>58</v>
      </c>
      <c r="D4" s="667">
        <f>Period</f>
        <v>44804</v>
      </c>
      <c r="E4" s="667"/>
      <c r="F4" s="415"/>
      <c r="G4" s="416"/>
      <c r="H4" s="417"/>
      <c r="J4" s="33"/>
      <c r="K4" s="33" t="s">
        <v>543</v>
      </c>
      <c r="L4" s="33">
        <f>COUNTIF(H8:H47,1)</f>
        <v>0</v>
      </c>
    </row>
    <row r="5" spans="2:17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f>COUNTIFS(H8:H47,"&gt;="&amp;Target,H8:H47,"&lt;"&amp;1)</f>
        <v>1</v>
      </c>
    </row>
    <row r="6" spans="2:17" s="32" customFormat="1" ht="14.5" thickBot="1" x14ac:dyDescent="0.35">
      <c r="B6" s="418" t="s">
        <v>592</v>
      </c>
      <c r="C6" s="419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417" t="s">
        <v>552</v>
      </c>
      <c r="J6" s="33"/>
      <c r="K6" s="33" t="s">
        <v>1539</v>
      </c>
      <c r="L6" s="33">
        <v>4</v>
      </c>
      <c r="O6" s="32" t="s">
        <v>1362</v>
      </c>
      <c r="P6" s="32" t="s">
        <v>1363</v>
      </c>
      <c r="Q6" s="32" t="s">
        <v>1364</v>
      </c>
    </row>
    <row r="7" spans="2:17" x14ac:dyDescent="0.3">
      <c r="B7" s="422"/>
      <c r="C7" s="423"/>
      <c r="D7" s="424"/>
      <c r="E7" s="424"/>
      <c r="F7" s="424"/>
      <c r="G7" s="425"/>
      <c r="J7" s="32"/>
      <c r="K7" s="33" t="s">
        <v>547</v>
      </c>
      <c r="L7" s="33">
        <v>0</v>
      </c>
    </row>
    <row r="8" spans="2:17" x14ac:dyDescent="0.3">
      <c r="B8" s="367" t="s">
        <v>864</v>
      </c>
      <c r="C8" s="426" t="s">
        <v>59</v>
      </c>
      <c r="D8" s="368">
        <f>[3]Clare!$I$8</f>
        <v>61767</v>
      </c>
      <c r="E8" s="368">
        <f>[2]Clare!$D8</f>
        <v>10000</v>
      </c>
      <c r="F8" s="368">
        <f t="shared" ref="F8:F10" si="0">D8-E8</f>
        <v>51767</v>
      </c>
      <c r="G8" s="375">
        <f t="shared" ref="G8:G9" si="1">ROUND((E8/D8),4)</f>
        <v>0.16189999999999999</v>
      </c>
      <c r="L8" s="33">
        <f>SUM(L3:L7)</f>
        <v>5</v>
      </c>
      <c r="O8" s="33" t="s">
        <v>1369</v>
      </c>
      <c r="P8" s="33" t="s">
        <v>1366</v>
      </c>
    </row>
    <row r="9" spans="2:17" x14ac:dyDescent="0.3">
      <c r="B9" s="367" t="s">
        <v>865</v>
      </c>
      <c r="C9" s="365" t="s">
        <v>60</v>
      </c>
      <c r="D9" s="368">
        <f>[3]Clare!$I$9</f>
        <v>4500</v>
      </c>
      <c r="E9" s="368">
        <f>[2]Clare!$D9</f>
        <v>2250</v>
      </c>
      <c r="F9" s="368">
        <f t="shared" si="0"/>
        <v>2250</v>
      </c>
      <c r="G9" s="366">
        <f t="shared" si="1"/>
        <v>0.5</v>
      </c>
      <c r="O9" s="33" t="s">
        <v>1365</v>
      </c>
      <c r="P9" s="33" t="s">
        <v>1366</v>
      </c>
    </row>
    <row r="10" spans="2:17" x14ac:dyDescent="0.3">
      <c r="B10" s="367"/>
      <c r="C10" s="426" t="s">
        <v>606</v>
      </c>
      <c r="D10" s="402"/>
      <c r="E10" s="368"/>
      <c r="F10" s="368">
        <f t="shared" si="0"/>
        <v>0</v>
      </c>
      <c r="G10" s="375"/>
    </row>
    <row r="11" spans="2:17" s="32" customFormat="1" ht="14.5" thickBot="1" x14ac:dyDescent="0.35">
      <c r="B11" s="301" t="s">
        <v>866</v>
      </c>
      <c r="C11" s="427" t="s">
        <v>70</v>
      </c>
      <c r="D11" s="363">
        <f>SUM(D8:D10)</f>
        <v>66267</v>
      </c>
      <c r="E11" s="363">
        <f>SUM(E8:E10)</f>
        <v>12250</v>
      </c>
      <c r="F11" s="363">
        <f>SUM(F8:F10)</f>
        <v>54017</v>
      </c>
      <c r="G11" s="428">
        <f>ROUND((E11/D11),4)</f>
        <v>0.18490000000000001</v>
      </c>
      <c r="H11" s="417">
        <f t="shared" ref="H11" si="2">G11</f>
        <v>0.18490000000000001</v>
      </c>
      <c r="J11" s="33"/>
      <c r="K11" s="33"/>
    </row>
    <row r="12" spans="2:17" x14ac:dyDescent="0.3">
      <c r="B12" s="429"/>
      <c r="C12" s="430"/>
      <c r="D12" s="431"/>
      <c r="E12" s="432"/>
      <c r="F12" s="432"/>
      <c r="G12" s="433"/>
      <c r="H12" s="417"/>
    </row>
    <row r="13" spans="2:17" x14ac:dyDescent="0.3">
      <c r="B13" s="644" t="s">
        <v>867</v>
      </c>
      <c r="C13" s="645" t="s">
        <v>61</v>
      </c>
      <c r="D13" s="659">
        <f>[3]Clare!$I$12</f>
        <v>2220</v>
      </c>
      <c r="E13" s="642">
        <f>[2]Clare!$D13</f>
        <v>2220</v>
      </c>
      <c r="F13" s="642">
        <f t="shared" ref="F13:F49" si="3">D13-E13</f>
        <v>0</v>
      </c>
      <c r="G13" s="646">
        <f t="shared" ref="G13:G49" si="4">ROUND((E13/D13),4)</f>
        <v>1</v>
      </c>
    </row>
    <row r="14" spans="2:17" x14ac:dyDescent="0.3">
      <c r="B14" s="644" t="s">
        <v>868</v>
      </c>
      <c r="C14" s="645" t="s">
        <v>62</v>
      </c>
      <c r="D14" s="642">
        <f>[3]Clare!$I$13</f>
        <v>4969</v>
      </c>
      <c r="E14" s="642">
        <f>[2]Clare!$D14</f>
        <v>4969</v>
      </c>
      <c r="F14" s="642">
        <f t="shared" si="3"/>
        <v>0</v>
      </c>
      <c r="G14" s="646">
        <f t="shared" si="4"/>
        <v>1</v>
      </c>
      <c r="O14" s="33" t="s">
        <v>1365</v>
      </c>
      <c r="P14" s="33" t="s">
        <v>1366</v>
      </c>
    </row>
    <row r="15" spans="2:17" x14ac:dyDescent="0.3">
      <c r="B15" s="367" t="s">
        <v>869</v>
      </c>
      <c r="C15" s="365" t="s">
        <v>63</v>
      </c>
      <c r="D15" s="368">
        <f>[3]Clare!$I$14</f>
        <v>7063</v>
      </c>
      <c r="E15" s="368">
        <f>[2]Clare!$D15</f>
        <v>5553</v>
      </c>
      <c r="F15" s="368">
        <f t="shared" si="3"/>
        <v>1510</v>
      </c>
      <c r="G15" s="366">
        <f t="shared" si="4"/>
        <v>0.78620000000000001</v>
      </c>
      <c r="O15" s="33" t="s">
        <v>1369</v>
      </c>
      <c r="P15" s="33" t="s">
        <v>1366</v>
      </c>
      <c r="Q15" s="33" t="s">
        <v>1367</v>
      </c>
    </row>
    <row r="16" spans="2:17" x14ac:dyDescent="0.3">
      <c r="B16" s="367" t="s">
        <v>870</v>
      </c>
      <c r="C16" s="365" t="s">
        <v>64</v>
      </c>
      <c r="D16" s="368">
        <f>[3]Clare!$I$15</f>
        <v>6798</v>
      </c>
      <c r="E16" s="368">
        <f>[2]Clare!$D16</f>
        <v>3000</v>
      </c>
      <c r="F16" s="368">
        <f t="shared" si="3"/>
        <v>3798</v>
      </c>
      <c r="G16" s="366">
        <f t="shared" si="4"/>
        <v>0.44130000000000003</v>
      </c>
      <c r="O16" s="33" t="s">
        <v>1365</v>
      </c>
      <c r="P16" s="33" t="s">
        <v>1366</v>
      </c>
      <c r="Q16" s="33" t="s">
        <v>1368</v>
      </c>
    </row>
    <row r="17" spans="2:17" x14ac:dyDescent="0.3">
      <c r="B17" s="367" t="s">
        <v>871</v>
      </c>
      <c r="C17" s="365" t="s">
        <v>65</v>
      </c>
      <c r="D17" s="368">
        <f>[3]Clare!$I$16</f>
        <v>26142</v>
      </c>
      <c r="E17" s="368">
        <f>[2]Clare!$D17</f>
        <v>11250</v>
      </c>
      <c r="F17" s="368">
        <f t="shared" si="3"/>
        <v>14892</v>
      </c>
      <c r="G17" s="366">
        <f t="shared" si="4"/>
        <v>0.43030000000000002</v>
      </c>
      <c r="O17" s="33" t="s">
        <v>1365</v>
      </c>
      <c r="P17" s="33" t="s">
        <v>1366</v>
      </c>
      <c r="Q17" s="33" t="s">
        <v>1367</v>
      </c>
    </row>
    <row r="18" spans="2:17" x14ac:dyDescent="0.3">
      <c r="B18" s="635" t="s">
        <v>872</v>
      </c>
      <c r="C18" s="636" t="s">
        <v>66</v>
      </c>
      <c r="D18" s="637">
        <f>[3]Clare!$I$17</f>
        <v>3135</v>
      </c>
      <c r="E18" s="637">
        <f>[2]Clare!$D18</f>
        <v>0</v>
      </c>
      <c r="F18" s="637">
        <f t="shared" si="3"/>
        <v>3135</v>
      </c>
      <c r="G18" s="638">
        <f t="shared" si="4"/>
        <v>0</v>
      </c>
      <c r="O18" s="33" t="s">
        <v>1365</v>
      </c>
      <c r="P18" s="33" t="s">
        <v>1366</v>
      </c>
      <c r="Q18" s="33" t="s">
        <v>1371</v>
      </c>
    </row>
    <row r="19" spans="2:17" x14ac:dyDescent="0.3">
      <c r="B19" s="367" t="s">
        <v>873</v>
      </c>
      <c r="C19" s="365" t="s">
        <v>67</v>
      </c>
      <c r="D19" s="368">
        <f>[3]Clare!$I$18</f>
        <v>4969</v>
      </c>
      <c r="E19" s="368">
        <f>[2]Clare!$D19</f>
        <v>2485</v>
      </c>
      <c r="F19" s="368">
        <f t="shared" si="3"/>
        <v>2484</v>
      </c>
      <c r="G19" s="366">
        <f t="shared" si="4"/>
        <v>0.50009999999999999</v>
      </c>
      <c r="O19" s="33" t="s">
        <v>1365</v>
      </c>
      <c r="P19" s="33" t="s">
        <v>1366</v>
      </c>
    </row>
    <row r="20" spans="2:17" x14ac:dyDescent="0.3">
      <c r="B20" s="635" t="s">
        <v>874</v>
      </c>
      <c r="C20" s="636" t="s">
        <v>68</v>
      </c>
      <c r="D20" s="637">
        <f>[3]Clare!$I$19</f>
        <v>2220</v>
      </c>
      <c r="E20" s="637">
        <f>[2]Clare!$D20</f>
        <v>0</v>
      </c>
      <c r="F20" s="637">
        <f t="shared" si="3"/>
        <v>2220</v>
      </c>
      <c r="G20" s="638">
        <f t="shared" si="4"/>
        <v>0</v>
      </c>
      <c r="O20" s="33" t="s">
        <v>1365</v>
      </c>
      <c r="P20" s="33" t="s">
        <v>1366</v>
      </c>
    </row>
    <row r="21" spans="2:17" x14ac:dyDescent="0.3">
      <c r="B21" s="373" t="s">
        <v>875</v>
      </c>
      <c r="C21" s="374" t="s">
        <v>1382</v>
      </c>
      <c r="D21" s="369">
        <v>0</v>
      </c>
      <c r="E21" s="368">
        <f>[4]Clare!$D$21</f>
        <v>0</v>
      </c>
      <c r="F21" s="368">
        <f t="shared" si="3"/>
        <v>0</v>
      </c>
      <c r="G21" s="375"/>
    </row>
    <row r="22" spans="2:17" ht="14.5" thickBot="1" x14ac:dyDescent="0.35">
      <c r="B22" s="301" t="s">
        <v>875</v>
      </c>
      <c r="C22" s="427" t="s">
        <v>69</v>
      </c>
      <c r="D22" s="363">
        <f>SUM(D13:D21)</f>
        <v>57516</v>
      </c>
      <c r="E22" s="363">
        <f>SUM(E13:E21)</f>
        <v>29477</v>
      </c>
      <c r="F22" s="363">
        <f t="shared" si="3"/>
        <v>28039</v>
      </c>
      <c r="G22" s="428">
        <f t="shared" si="4"/>
        <v>0.51249999999999996</v>
      </c>
      <c r="H22" s="417">
        <f t="shared" ref="H22" si="5">G22</f>
        <v>0.51249999999999996</v>
      </c>
    </row>
    <row r="23" spans="2:17" x14ac:dyDescent="0.3">
      <c r="B23" s="429"/>
      <c r="C23" s="430"/>
      <c r="D23" s="431"/>
      <c r="E23" s="432"/>
      <c r="F23" s="432"/>
      <c r="G23" s="433"/>
    </row>
    <row r="24" spans="2:17" x14ac:dyDescent="0.3">
      <c r="B24" s="367" t="s">
        <v>876</v>
      </c>
      <c r="C24" s="365" t="s">
        <v>71</v>
      </c>
      <c r="D24" s="368">
        <f>[3]Clare!$I$23</f>
        <v>4860</v>
      </c>
      <c r="E24" s="368">
        <f>[2]Clare!$D24</f>
        <v>1200</v>
      </c>
      <c r="F24" s="368">
        <f t="shared" si="3"/>
        <v>3660</v>
      </c>
      <c r="G24" s="366">
        <f t="shared" si="4"/>
        <v>0.24690000000000001</v>
      </c>
      <c r="O24" s="33" t="s">
        <v>1365</v>
      </c>
      <c r="P24" s="33" t="s">
        <v>1366</v>
      </c>
    </row>
    <row r="25" spans="2:17" x14ac:dyDescent="0.3">
      <c r="B25" s="635" t="s">
        <v>877</v>
      </c>
      <c r="C25" s="636" t="s">
        <v>72</v>
      </c>
      <c r="D25" s="637">
        <f>[3]Clare!$I$24</f>
        <v>4860</v>
      </c>
      <c r="E25" s="637">
        <f>[2]Clare!$D25</f>
        <v>0</v>
      </c>
      <c r="F25" s="637">
        <f t="shared" si="3"/>
        <v>4860</v>
      </c>
      <c r="G25" s="638">
        <f t="shared" si="4"/>
        <v>0</v>
      </c>
    </row>
    <row r="26" spans="2:17" x14ac:dyDescent="0.3">
      <c r="B26" s="367" t="s">
        <v>878</v>
      </c>
      <c r="C26" s="426" t="s">
        <v>73</v>
      </c>
      <c r="D26" s="368">
        <f>[3]Clare!$I$25</f>
        <v>4536</v>
      </c>
      <c r="E26" s="368">
        <f>[2]Clare!$D26</f>
        <v>2000</v>
      </c>
      <c r="F26" s="368">
        <f t="shared" si="3"/>
        <v>2536</v>
      </c>
      <c r="G26" s="375">
        <f t="shared" si="4"/>
        <v>0.44090000000000001</v>
      </c>
    </row>
    <row r="27" spans="2:17" x14ac:dyDescent="0.3">
      <c r="B27" s="367" t="s">
        <v>879</v>
      </c>
      <c r="C27" s="426" t="s">
        <v>74</v>
      </c>
      <c r="D27" s="368">
        <f>[3]Clare!$I$26</f>
        <v>6480</v>
      </c>
      <c r="E27" s="368">
        <f>[2]Clare!$D27</f>
        <v>1000</v>
      </c>
      <c r="F27" s="368">
        <f t="shared" si="3"/>
        <v>5480</v>
      </c>
      <c r="G27" s="375">
        <f t="shared" si="4"/>
        <v>0.15429999999999999</v>
      </c>
      <c r="O27" s="33" t="s">
        <v>1365</v>
      </c>
      <c r="P27" s="33" t="s">
        <v>1366</v>
      </c>
    </row>
    <row r="28" spans="2:17" x14ac:dyDescent="0.3">
      <c r="B28" s="644" t="s">
        <v>880</v>
      </c>
      <c r="C28" s="645" t="s">
        <v>75</v>
      </c>
      <c r="D28" s="642">
        <f>[3]Clare!$I$27</f>
        <v>4536</v>
      </c>
      <c r="E28" s="642">
        <f>[2]Clare!$D28</f>
        <v>4536</v>
      </c>
      <c r="F28" s="642">
        <f t="shared" si="3"/>
        <v>0</v>
      </c>
      <c r="G28" s="646">
        <f t="shared" si="4"/>
        <v>1</v>
      </c>
      <c r="O28" s="33" t="s">
        <v>1365</v>
      </c>
      <c r="P28" s="33" t="s">
        <v>1366</v>
      </c>
      <c r="Q28" s="33" t="s">
        <v>1371</v>
      </c>
    </row>
    <row r="29" spans="2:17" x14ac:dyDescent="0.3">
      <c r="B29" s="367" t="s">
        <v>881</v>
      </c>
      <c r="C29" s="426" t="s">
        <v>76</v>
      </c>
      <c r="D29" s="368">
        <f>[3]Clare!$I$28</f>
        <v>3564</v>
      </c>
      <c r="E29" s="368">
        <f>[2]Clare!$D29</f>
        <v>1300</v>
      </c>
      <c r="F29" s="368">
        <f t="shared" si="3"/>
        <v>2264</v>
      </c>
      <c r="G29" s="375">
        <f t="shared" si="4"/>
        <v>0.36480000000000001</v>
      </c>
      <c r="O29" s="33" t="s">
        <v>1365</v>
      </c>
      <c r="P29" s="33" t="s">
        <v>1366</v>
      </c>
    </row>
    <row r="30" spans="2:17" x14ac:dyDescent="0.3">
      <c r="B30" s="367" t="s">
        <v>882</v>
      </c>
      <c r="C30" s="426" t="s">
        <v>77</v>
      </c>
      <c r="D30" s="368">
        <f>[3]Clare!$I$29</f>
        <v>7452</v>
      </c>
      <c r="E30" s="368">
        <f>[2]Clare!$D30</f>
        <v>3200</v>
      </c>
      <c r="F30" s="368">
        <f t="shared" si="3"/>
        <v>4252</v>
      </c>
      <c r="G30" s="375">
        <f t="shared" si="4"/>
        <v>0.4294</v>
      </c>
      <c r="O30" s="33" t="s">
        <v>1369</v>
      </c>
      <c r="P30" s="33" t="s">
        <v>1370</v>
      </c>
      <c r="Q30" s="33" t="s">
        <v>1367</v>
      </c>
    </row>
    <row r="31" spans="2:17" x14ac:dyDescent="0.3">
      <c r="B31" s="367"/>
      <c r="C31" s="435" t="s">
        <v>1616</v>
      </c>
      <c r="D31" s="368"/>
      <c r="E31" s="368"/>
      <c r="F31" s="368">
        <f t="shared" si="3"/>
        <v>0</v>
      </c>
      <c r="G31" s="375"/>
    </row>
    <row r="32" spans="2:17" s="32" customFormat="1" ht="14.5" thickBot="1" x14ac:dyDescent="0.35">
      <c r="B32" s="301" t="s">
        <v>883</v>
      </c>
      <c r="C32" s="427" t="s">
        <v>78</v>
      </c>
      <c r="D32" s="363">
        <f>SUM(D24:D31)</f>
        <v>36288</v>
      </c>
      <c r="E32" s="363">
        <f>SUM(E24:E31)</f>
        <v>13236</v>
      </c>
      <c r="F32" s="363">
        <f t="shared" si="3"/>
        <v>23052</v>
      </c>
      <c r="G32" s="428">
        <f t="shared" si="4"/>
        <v>0.36470000000000002</v>
      </c>
      <c r="H32" s="417">
        <f t="shared" ref="H32:H47" si="6">G32</f>
        <v>0.36470000000000002</v>
      </c>
    </row>
    <row r="33" spans="2:17" x14ac:dyDescent="0.3">
      <c r="B33" s="429"/>
      <c r="C33" s="430"/>
      <c r="D33" s="431"/>
      <c r="E33" s="432"/>
      <c r="F33" s="432"/>
      <c r="G33" s="433"/>
    </row>
    <row r="34" spans="2:17" x14ac:dyDescent="0.3">
      <c r="B34" s="367" t="s">
        <v>884</v>
      </c>
      <c r="C34" s="365" t="s">
        <v>79</v>
      </c>
      <c r="D34" s="368">
        <f>[3]Clare!$I$33</f>
        <v>4695</v>
      </c>
      <c r="E34" s="368">
        <f>[2]Clare!$D34</f>
        <v>3695</v>
      </c>
      <c r="F34" s="368">
        <f t="shared" si="3"/>
        <v>1000</v>
      </c>
      <c r="G34" s="366">
        <f t="shared" si="4"/>
        <v>0.78700000000000003</v>
      </c>
      <c r="O34" s="33" t="s">
        <v>1365</v>
      </c>
      <c r="P34" s="33" t="s">
        <v>1366</v>
      </c>
    </row>
    <row r="35" spans="2:17" x14ac:dyDescent="0.3">
      <c r="B35" s="367" t="s">
        <v>885</v>
      </c>
      <c r="C35" s="365" t="s">
        <v>80</v>
      </c>
      <c r="D35" s="368">
        <f>[3]Clare!$I$34</f>
        <v>15978</v>
      </c>
      <c r="E35" s="368">
        <f>[2]Clare!$D35</f>
        <v>10144</v>
      </c>
      <c r="F35" s="368">
        <f t="shared" si="3"/>
        <v>5834</v>
      </c>
      <c r="G35" s="366">
        <f t="shared" si="4"/>
        <v>0.63490000000000002</v>
      </c>
      <c r="O35" s="33" t="s">
        <v>1369</v>
      </c>
      <c r="P35" s="33" t="s">
        <v>1370</v>
      </c>
      <c r="Q35" s="33" t="s">
        <v>1367</v>
      </c>
    </row>
    <row r="36" spans="2:17" x14ac:dyDescent="0.3">
      <c r="B36" s="367" t="s">
        <v>886</v>
      </c>
      <c r="C36" s="365" t="s">
        <v>81</v>
      </c>
      <c r="D36" s="368">
        <f>[3]Clare!$I$35</f>
        <v>4695</v>
      </c>
      <c r="E36" s="368">
        <f>[2]Clare!$D36</f>
        <v>4395</v>
      </c>
      <c r="F36" s="368">
        <f t="shared" si="3"/>
        <v>300</v>
      </c>
      <c r="G36" s="366">
        <f t="shared" si="4"/>
        <v>0.93610000000000004</v>
      </c>
      <c r="O36" s="33" t="s">
        <v>1365</v>
      </c>
      <c r="P36" s="33" t="s">
        <v>1366</v>
      </c>
      <c r="Q36" s="33" t="s">
        <v>1368</v>
      </c>
    </row>
    <row r="37" spans="2:17" x14ac:dyDescent="0.3">
      <c r="B37" s="367" t="s">
        <v>887</v>
      </c>
      <c r="C37" s="365" t="s">
        <v>82</v>
      </c>
      <c r="D37" s="368">
        <f>[3]Clare!$I$36</f>
        <v>5514</v>
      </c>
      <c r="E37" s="368">
        <f>[2]Clare!$D37</f>
        <v>4000</v>
      </c>
      <c r="F37" s="368">
        <f t="shared" si="3"/>
        <v>1514</v>
      </c>
      <c r="G37" s="366">
        <f t="shared" si="4"/>
        <v>0.72540000000000004</v>
      </c>
      <c r="O37" s="33" t="s">
        <v>1369</v>
      </c>
      <c r="Q37" s="33" t="s">
        <v>1368</v>
      </c>
    </row>
    <row r="38" spans="2:17" x14ac:dyDescent="0.3">
      <c r="B38" s="367" t="s">
        <v>888</v>
      </c>
      <c r="C38" s="365" t="s">
        <v>83</v>
      </c>
      <c r="D38" s="368">
        <f>[3]Clare!$I$37</f>
        <v>7794</v>
      </c>
      <c r="E38" s="368">
        <f>[2]Clare!$D38</f>
        <v>4952</v>
      </c>
      <c r="F38" s="368">
        <f t="shared" si="3"/>
        <v>2842</v>
      </c>
      <c r="G38" s="366">
        <f t="shared" si="4"/>
        <v>0.63539999999999996</v>
      </c>
      <c r="O38" s="33" t="s">
        <v>1369</v>
      </c>
      <c r="P38" s="33" t="s">
        <v>1370</v>
      </c>
      <c r="Q38" s="33" t="s">
        <v>1367</v>
      </c>
    </row>
    <row r="39" spans="2:17" x14ac:dyDescent="0.3">
      <c r="B39" s="367" t="s">
        <v>889</v>
      </c>
      <c r="C39" s="365" t="s">
        <v>84</v>
      </c>
      <c r="D39" s="368">
        <f>[3]Clare!$I$38</f>
        <v>4396</v>
      </c>
      <c r="E39" s="368">
        <f>[2]Clare!$D39</f>
        <v>3000</v>
      </c>
      <c r="F39" s="368">
        <f t="shared" si="3"/>
        <v>1396</v>
      </c>
      <c r="G39" s="366">
        <f t="shared" si="4"/>
        <v>0.68240000000000001</v>
      </c>
      <c r="O39" s="33" t="s">
        <v>1365</v>
      </c>
      <c r="P39" s="33" t="s">
        <v>1366</v>
      </c>
      <c r="Q39" s="33" t="s">
        <v>1373</v>
      </c>
    </row>
    <row r="40" spans="2:17" s="32" customFormat="1" ht="14.5" thickBot="1" x14ac:dyDescent="0.35">
      <c r="B40" s="301" t="s">
        <v>890</v>
      </c>
      <c r="C40" s="427" t="s">
        <v>85</v>
      </c>
      <c r="D40" s="363">
        <f>SUM(D34:D39)</f>
        <v>43072</v>
      </c>
      <c r="E40" s="363">
        <f>SUM(E34:E39)</f>
        <v>30186</v>
      </c>
      <c r="F40" s="363">
        <f t="shared" si="3"/>
        <v>12886</v>
      </c>
      <c r="G40" s="428">
        <f t="shared" si="4"/>
        <v>0.70079999999999998</v>
      </c>
      <c r="H40" s="417">
        <f t="shared" si="6"/>
        <v>0.70079999999999998</v>
      </c>
    </row>
    <row r="41" spans="2:17" s="32" customFormat="1" x14ac:dyDescent="0.3">
      <c r="B41" s="436"/>
      <c r="C41" s="437"/>
      <c r="D41" s="438"/>
      <c r="E41" s="439"/>
      <c r="F41" s="440"/>
      <c r="G41" s="441"/>
      <c r="H41" s="417"/>
    </row>
    <row r="42" spans="2:17" x14ac:dyDescent="0.3">
      <c r="B42" s="367" t="s">
        <v>891</v>
      </c>
      <c r="C42" s="365" t="s">
        <v>86</v>
      </c>
      <c r="D42" s="368">
        <f>[3]Clare!$I$41</f>
        <v>18963</v>
      </c>
      <c r="E42" s="368">
        <f>[2]Clare!$D41</f>
        <v>9482</v>
      </c>
      <c r="F42" s="368">
        <f t="shared" si="3"/>
        <v>9481</v>
      </c>
      <c r="G42" s="366">
        <f t="shared" si="4"/>
        <v>0.5</v>
      </c>
      <c r="O42" s="33" t="s">
        <v>1365</v>
      </c>
      <c r="P42" s="33" t="s">
        <v>1366</v>
      </c>
      <c r="Q42" s="33" t="s">
        <v>1371</v>
      </c>
    </row>
    <row r="43" spans="2:17" x14ac:dyDescent="0.3">
      <c r="B43" s="367" t="s">
        <v>892</v>
      </c>
      <c r="C43" s="365" t="s">
        <v>87</v>
      </c>
      <c r="D43" s="368">
        <f>[3]Clare!$I$42</f>
        <v>32063</v>
      </c>
      <c r="E43" s="368">
        <f>[2]Clare!$D42</f>
        <v>12500</v>
      </c>
      <c r="F43" s="368">
        <f t="shared" si="3"/>
        <v>19563</v>
      </c>
      <c r="G43" s="366">
        <f t="shared" si="4"/>
        <v>0.38990000000000002</v>
      </c>
      <c r="O43" s="33" t="s">
        <v>1372</v>
      </c>
      <c r="P43" s="33" t="s">
        <v>1370</v>
      </c>
      <c r="Q43" s="33" t="s">
        <v>1367</v>
      </c>
    </row>
    <row r="44" spans="2:17" x14ac:dyDescent="0.3">
      <c r="B44" s="367" t="s">
        <v>893</v>
      </c>
      <c r="C44" s="365" t="s">
        <v>88</v>
      </c>
      <c r="D44" s="368">
        <f>[3]Clare!$I$43</f>
        <v>6206</v>
      </c>
      <c r="E44" s="368">
        <f>[2]Clare!$D43</f>
        <v>3900</v>
      </c>
      <c r="F44" s="368">
        <f t="shared" si="3"/>
        <v>2306</v>
      </c>
      <c r="G44" s="366">
        <f t="shared" si="4"/>
        <v>0.62839999999999996</v>
      </c>
      <c r="O44" s="33" t="s">
        <v>1372</v>
      </c>
      <c r="P44" s="33" t="s">
        <v>1370</v>
      </c>
      <c r="Q44" s="33" t="s">
        <v>1367</v>
      </c>
    </row>
    <row r="45" spans="2:17" x14ac:dyDescent="0.3">
      <c r="B45" s="367" t="s">
        <v>894</v>
      </c>
      <c r="C45" s="365" t="s">
        <v>89</v>
      </c>
      <c r="D45" s="368">
        <f>[3]Clare!$I$44</f>
        <v>8620</v>
      </c>
      <c r="E45" s="368">
        <f>[2]Clare!$D44</f>
        <v>6465</v>
      </c>
      <c r="F45" s="368">
        <f t="shared" si="3"/>
        <v>2155</v>
      </c>
      <c r="G45" s="366">
        <f t="shared" si="4"/>
        <v>0.75</v>
      </c>
      <c r="O45" s="33" t="s">
        <v>1365</v>
      </c>
      <c r="P45" s="33" t="s">
        <v>1366</v>
      </c>
      <c r="Q45" s="33" t="s">
        <v>1368</v>
      </c>
    </row>
    <row r="46" spans="2:17" x14ac:dyDescent="0.3">
      <c r="B46" s="367" t="s">
        <v>895</v>
      </c>
      <c r="C46" s="365" t="s">
        <v>90</v>
      </c>
      <c r="D46" s="368">
        <f>[3]Clare!$I$45</f>
        <v>3103</v>
      </c>
      <c r="E46" s="368">
        <f>[2]Clare!$D45</f>
        <v>1533</v>
      </c>
      <c r="F46" s="368">
        <f t="shared" si="3"/>
        <v>1570</v>
      </c>
      <c r="G46" s="366">
        <f t="shared" si="4"/>
        <v>0.49399999999999999</v>
      </c>
      <c r="O46" s="33" t="s">
        <v>1365</v>
      </c>
      <c r="P46" s="33" t="s">
        <v>1366</v>
      </c>
      <c r="Q46" s="33" t="s">
        <v>1371</v>
      </c>
    </row>
    <row r="47" spans="2:17" s="32" customFormat="1" ht="14.5" thickBot="1" x14ac:dyDescent="0.35">
      <c r="B47" s="442" t="s">
        <v>896</v>
      </c>
      <c r="C47" s="443" t="s">
        <v>91</v>
      </c>
      <c r="D47" s="370">
        <f>SUM(D42:D46)</f>
        <v>68955</v>
      </c>
      <c r="E47" s="400">
        <f>SUM(E42:E46)</f>
        <v>33880</v>
      </c>
      <c r="F47" s="370">
        <f t="shared" si="3"/>
        <v>35075</v>
      </c>
      <c r="G47" s="444">
        <f t="shared" si="4"/>
        <v>0.49130000000000001</v>
      </c>
      <c r="H47" s="417">
        <f t="shared" si="6"/>
        <v>0.49130000000000001</v>
      </c>
    </row>
    <row r="48" spans="2:17" x14ac:dyDescent="0.3">
      <c r="B48" s="445"/>
      <c r="C48" s="446"/>
      <c r="D48" s="447"/>
      <c r="E48" s="448"/>
      <c r="F48" s="448"/>
      <c r="G48" s="449"/>
      <c r="H48" s="417"/>
    </row>
    <row r="49" spans="2:8" s="32" customFormat="1" ht="14.5" thickBot="1" x14ac:dyDescent="0.35">
      <c r="B49" s="442"/>
      <c r="C49" s="443" t="s">
        <v>607</v>
      </c>
      <c r="D49" s="370">
        <f>SUM(D47,D40,D32,D22,D8:D9)</f>
        <v>272098</v>
      </c>
      <c r="E49" s="370">
        <f>SUM($E$47,$E$40,$E$32,$E$22,$E$11)</f>
        <v>119029</v>
      </c>
      <c r="F49" s="370">
        <f t="shared" si="3"/>
        <v>153069</v>
      </c>
      <c r="G49" s="444">
        <f t="shared" si="4"/>
        <v>0.43740000000000001</v>
      </c>
      <c r="H49" s="417"/>
    </row>
    <row r="50" spans="2:8" s="32" customFormat="1" x14ac:dyDescent="0.3">
      <c r="B50" s="450"/>
      <c r="C50" s="451"/>
      <c r="D50" s="448"/>
      <c r="E50" s="448"/>
      <c r="F50" s="448"/>
      <c r="G50" s="452"/>
      <c r="H50" s="417"/>
    </row>
    <row r="51" spans="2:8" s="32" customFormat="1" x14ac:dyDescent="0.3">
      <c r="B51" s="450"/>
      <c r="C51" s="426"/>
      <c r="D51" s="447"/>
      <c r="E51" s="448"/>
      <c r="F51" s="448"/>
      <c r="G51" s="453"/>
      <c r="H51" s="417"/>
    </row>
    <row r="52" spans="2:8" s="32" customFormat="1" ht="14.5" thickBot="1" x14ac:dyDescent="0.35">
      <c r="B52" s="442"/>
      <c r="C52" s="443" t="s">
        <v>1530</v>
      </c>
      <c r="D52" s="370">
        <f>D49+D10</f>
        <v>272098</v>
      </c>
      <c r="E52" s="370">
        <f>E49+E10</f>
        <v>119029</v>
      </c>
      <c r="F52" s="370">
        <f>F49+F10</f>
        <v>153069</v>
      </c>
      <c r="G52" s="444">
        <f t="shared" ref="G52" si="7">ROUND((E52/D52),4)</f>
        <v>0.43740000000000001</v>
      </c>
      <c r="H52" s="417"/>
    </row>
    <row r="53" spans="2:8" x14ac:dyDescent="0.3">
      <c r="B53" s="445"/>
      <c r="C53" s="446"/>
      <c r="D53" s="447"/>
      <c r="E53" s="447"/>
      <c r="F53" s="447"/>
      <c r="G53" s="425"/>
    </row>
    <row r="54" spans="2:8" s="32" customFormat="1" ht="14.5" thickBot="1" x14ac:dyDescent="0.35">
      <c r="B54" s="442"/>
      <c r="C54" s="443" t="s">
        <v>1657</v>
      </c>
      <c r="D54" s="370">
        <f>[5]Summary!$D$7</f>
        <v>234109</v>
      </c>
      <c r="E54" s="370">
        <f>[6]Clare!$D$48</f>
        <v>101312</v>
      </c>
      <c r="F54" s="370">
        <f>D54-E54</f>
        <v>132797</v>
      </c>
      <c r="G54" s="444">
        <f>E54/D54</f>
        <v>0.43275568218223137</v>
      </c>
      <c r="H54" s="417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U90"/>
  <sheetViews>
    <sheetView topLeftCell="A54" zoomScaleNormal="100" workbookViewId="0">
      <selection activeCell="B55" sqref="B55:G55"/>
    </sheetView>
  </sheetViews>
  <sheetFormatPr defaultColWidth="9" defaultRowHeight="14" x14ac:dyDescent="0.3"/>
  <cols>
    <col min="1" max="1" width="9" style="33"/>
    <col min="2" max="2" width="10.83203125" style="33" bestFit="1" customWidth="1"/>
    <col min="3" max="3" width="37.33203125" style="33" bestFit="1" customWidth="1"/>
    <col min="4" max="6" width="12" style="33" bestFit="1" customWidth="1"/>
    <col min="7" max="7" width="12.5" style="214" bestFit="1" customWidth="1"/>
    <col min="8" max="8" width="9" style="33" hidden="1" customWidth="1"/>
    <col min="9" max="9" width="11.08203125" style="33" hidden="1" customWidth="1"/>
    <col min="10" max="10" width="9" style="33" hidden="1" customWidth="1"/>
    <col min="11" max="11" width="19.08203125" style="33" hidden="1" customWidth="1"/>
    <col min="12" max="12" width="9" style="33" hidden="1" customWidth="1"/>
    <col min="13" max="13" width="2.75" style="33" hidden="1" customWidth="1"/>
    <col min="14" max="14" width="16.83203125" style="33" hidden="1" customWidth="1"/>
    <col min="15" max="15" width="15.25" style="33" hidden="1" customWidth="1"/>
    <col min="16" max="16" width="10.83203125" style="33" hidden="1" customWidth="1"/>
    <col min="17" max="17" width="9" style="33" customWidth="1"/>
    <col min="18" max="16384" width="9" style="33"/>
  </cols>
  <sheetData>
    <row r="1" spans="2:16" ht="14.5" thickBot="1" x14ac:dyDescent="0.35"/>
    <row r="2" spans="2:16" s="404" customFormat="1" ht="23" thickBot="1" x14ac:dyDescent="0.5">
      <c r="B2" s="405"/>
      <c r="C2" s="406" t="str">
        <f>Summary!A1</f>
        <v>Parish Share 2022</v>
      </c>
      <c r="D2" s="407"/>
      <c r="E2" s="407"/>
      <c r="F2" s="407"/>
      <c r="G2" s="408"/>
      <c r="O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f>COUNTIF(H8:H42,"&gt;1")</f>
        <v>0</v>
      </c>
    </row>
    <row r="4" spans="2:16" s="32" customFormat="1" ht="18" thickBot="1" x14ac:dyDescent="0.4">
      <c r="B4" s="413"/>
      <c r="C4" s="414" t="s">
        <v>1635</v>
      </c>
      <c r="D4" s="667">
        <f>Summary!C3</f>
        <v>44804</v>
      </c>
      <c r="E4" s="667"/>
      <c r="F4" s="415"/>
      <c r="G4" s="416"/>
      <c r="J4" s="33"/>
      <c r="K4" s="33" t="s">
        <v>543</v>
      </c>
      <c r="L4" s="33">
        <f>COUNTIF(H8:H42,1)</f>
        <v>0</v>
      </c>
      <c r="M4" s="33"/>
    </row>
    <row r="5" spans="2:16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1</v>
      </c>
    </row>
    <row r="6" spans="2:16" s="32" customFormat="1" ht="14.5" thickBot="1" x14ac:dyDescent="0.35">
      <c r="B6" s="418" t="s">
        <v>592</v>
      </c>
      <c r="C6" s="419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4</v>
      </c>
      <c r="M6" s="33"/>
      <c r="N6" s="32" t="s">
        <v>1362</v>
      </c>
      <c r="O6" s="32" t="s">
        <v>1363</v>
      </c>
      <c r="P6" s="32" t="s">
        <v>1364</v>
      </c>
    </row>
    <row r="7" spans="2:16" x14ac:dyDescent="0.3">
      <c r="B7" s="422"/>
      <c r="C7" s="424"/>
      <c r="D7" s="424"/>
      <c r="E7" s="424"/>
      <c r="F7" s="424"/>
      <c r="G7" s="454"/>
      <c r="K7" s="33" t="s">
        <v>547</v>
      </c>
      <c r="L7" s="33">
        <f>COUNTIF(H8:H42,0)</f>
        <v>0</v>
      </c>
    </row>
    <row r="8" spans="2:16" x14ac:dyDescent="0.3">
      <c r="B8" s="367" t="s">
        <v>837</v>
      </c>
      <c r="C8" s="365" t="s">
        <v>29</v>
      </c>
      <c r="D8" s="368">
        <f>'[3]Gipping Valley'!$I$8</f>
        <v>5000</v>
      </c>
      <c r="E8" s="401">
        <f>'[2]Gipping Valley'!$D8</f>
        <v>2400</v>
      </c>
      <c r="F8" s="368">
        <f>D8-E8</f>
        <v>2600</v>
      </c>
      <c r="G8" s="366">
        <f t="shared" ref="G8:G11" si="0">ROUND((E8/D8),4)</f>
        <v>0.48</v>
      </c>
      <c r="H8" s="455"/>
      <c r="L8" s="33">
        <f>SUM(L3:L7)</f>
        <v>5</v>
      </c>
      <c r="N8" s="33" t="s">
        <v>1365</v>
      </c>
      <c r="O8" s="33" t="s">
        <v>1366</v>
      </c>
    </row>
    <row r="9" spans="2:16" x14ac:dyDescent="0.3">
      <c r="B9" s="367" t="s">
        <v>838</v>
      </c>
      <c r="C9" s="365" t="s">
        <v>30</v>
      </c>
      <c r="D9" s="368">
        <f>'[3]Gipping Valley'!$I$9</f>
        <v>10000</v>
      </c>
      <c r="E9" s="401">
        <f>'[2]Gipping Valley'!$D9</f>
        <v>6000</v>
      </c>
      <c r="F9" s="368">
        <f t="shared" ref="F9:F12" si="1">D9-E9</f>
        <v>4000</v>
      </c>
      <c r="G9" s="366">
        <f t="shared" si="0"/>
        <v>0.6</v>
      </c>
      <c r="H9" s="455"/>
      <c r="N9" s="33" t="s">
        <v>1365</v>
      </c>
      <c r="O9" s="33" t="s">
        <v>1366</v>
      </c>
      <c r="P9" s="33" t="s">
        <v>1367</v>
      </c>
    </row>
    <row r="10" spans="2:16" x14ac:dyDescent="0.3">
      <c r="B10" s="635" t="s">
        <v>839</v>
      </c>
      <c r="C10" s="636" t="s">
        <v>31</v>
      </c>
      <c r="D10" s="637">
        <f>'[3]Gipping Valley'!$I$10</f>
        <v>1500</v>
      </c>
      <c r="E10" s="657">
        <f>'[2]Gipping Valley'!$D10</f>
        <v>0</v>
      </c>
      <c r="F10" s="637">
        <f t="shared" si="1"/>
        <v>1500</v>
      </c>
      <c r="G10" s="638">
        <f t="shared" si="0"/>
        <v>0</v>
      </c>
      <c r="H10" s="455"/>
    </row>
    <row r="11" spans="2:16" x14ac:dyDescent="0.3">
      <c r="B11" s="367" t="s">
        <v>840</v>
      </c>
      <c r="C11" s="365" t="s">
        <v>32</v>
      </c>
      <c r="D11" s="368">
        <f>'[3]Gipping Valley'!$I$11</f>
        <v>5000</v>
      </c>
      <c r="E11" s="401">
        <f>'[2]Gipping Valley'!$D11</f>
        <v>4000</v>
      </c>
      <c r="F11" s="368">
        <f t="shared" si="1"/>
        <v>1000</v>
      </c>
      <c r="G11" s="366">
        <f t="shared" si="0"/>
        <v>0.8</v>
      </c>
      <c r="H11" s="455"/>
      <c r="N11" s="33" t="s">
        <v>1365</v>
      </c>
      <c r="O11" s="33" t="s">
        <v>1366</v>
      </c>
      <c r="P11" s="33" t="s">
        <v>1368</v>
      </c>
    </row>
    <row r="12" spans="2:16" s="32" customFormat="1" x14ac:dyDescent="0.3">
      <c r="B12" s="373"/>
      <c r="C12" s="384" t="s">
        <v>606</v>
      </c>
      <c r="D12" s="369"/>
      <c r="E12" s="401"/>
      <c r="F12" s="368">
        <f t="shared" si="1"/>
        <v>0</v>
      </c>
      <c r="G12" s="456"/>
    </row>
    <row r="13" spans="2:16" ht="14.5" thickBot="1" x14ac:dyDescent="0.35">
      <c r="B13" s="301" t="s">
        <v>836</v>
      </c>
      <c r="C13" s="302" t="s">
        <v>33</v>
      </c>
      <c r="D13" s="363">
        <f>SUM(D8:D11)+D12</f>
        <v>21500</v>
      </c>
      <c r="E13" s="363">
        <f t="shared" ref="E13:F13" si="2">SUM(E8:E11)+E12</f>
        <v>12400</v>
      </c>
      <c r="F13" s="363">
        <f t="shared" si="2"/>
        <v>9100</v>
      </c>
      <c r="G13" s="457">
        <f t="shared" ref="G13:G76" si="3">ROUND((E13/D13),4)</f>
        <v>0.57669999999999999</v>
      </c>
      <c r="H13" s="455">
        <f>G13</f>
        <v>0.57669999999999999</v>
      </c>
      <c r="I13" s="458"/>
    </row>
    <row r="14" spans="2:16" x14ac:dyDescent="0.3">
      <c r="B14" s="429"/>
      <c r="C14" s="459"/>
      <c r="D14" s="431"/>
      <c r="E14" s="460"/>
      <c r="F14" s="431"/>
      <c r="G14" s="461"/>
      <c r="N14" s="33" t="s">
        <v>1369</v>
      </c>
      <c r="O14" s="33" t="s">
        <v>1370</v>
      </c>
      <c r="P14" s="33" t="s">
        <v>1367</v>
      </c>
    </row>
    <row r="15" spans="2:16" x14ac:dyDescent="0.3">
      <c r="B15" s="367" t="s">
        <v>841</v>
      </c>
      <c r="C15" s="365" t="s">
        <v>34</v>
      </c>
      <c r="D15" s="368">
        <f>'[3]Gipping Valley'!$I$15</f>
        <v>38144</v>
      </c>
      <c r="E15" s="401">
        <f>'[2]Gipping Valley'!$D16</f>
        <v>17000</v>
      </c>
      <c r="F15" s="368">
        <f t="shared" ref="F15" si="4">D15-E15</f>
        <v>21144</v>
      </c>
      <c r="G15" s="366">
        <f t="shared" si="3"/>
        <v>0.44569999999999999</v>
      </c>
      <c r="H15" s="462"/>
      <c r="N15" s="33" t="s">
        <v>1365</v>
      </c>
      <c r="O15" s="33" t="s">
        <v>1366</v>
      </c>
      <c r="P15" s="33" t="s">
        <v>1371</v>
      </c>
    </row>
    <row r="16" spans="2:16" x14ac:dyDescent="0.3">
      <c r="B16" s="367" t="s">
        <v>842</v>
      </c>
      <c r="C16" s="365" t="s">
        <v>35</v>
      </c>
      <c r="D16" s="368">
        <f>'[3]Gipping Valley'!$I$16</f>
        <v>13054</v>
      </c>
      <c r="E16" s="401">
        <f>'[2]Gipping Valley'!$D17</f>
        <v>3468</v>
      </c>
      <c r="F16" s="368">
        <f>D16-E16</f>
        <v>9586</v>
      </c>
      <c r="G16" s="366">
        <f t="shared" si="3"/>
        <v>0.26569999999999999</v>
      </c>
      <c r="H16" s="462"/>
      <c r="N16" s="33" t="s">
        <v>1372</v>
      </c>
      <c r="O16" s="33" t="s">
        <v>1370</v>
      </c>
      <c r="P16" s="33" t="s">
        <v>1367</v>
      </c>
    </row>
    <row r="17" spans="2:16" s="32" customFormat="1" x14ac:dyDescent="0.3">
      <c r="B17" s="373" t="s">
        <v>843</v>
      </c>
      <c r="C17" s="384" t="s">
        <v>36</v>
      </c>
      <c r="D17" s="368">
        <f>'[3]Gipping Valley'!$I$17</f>
        <v>18881</v>
      </c>
      <c r="E17" s="401">
        <f>'[2]Gipping Valley'!$D18</f>
        <v>9000</v>
      </c>
      <c r="F17" s="369">
        <f>D17-E17</f>
        <v>9881</v>
      </c>
      <c r="G17" s="366">
        <f t="shared" si="3"/>
        <v>0.47670000000000001</v>
      </c>
      <c r="H17" s="462"/>
    </row>
    <row r="18" spans="2:16" ht="14.5" thickBot="1" x14ac:dyDescent="0.35">
      <c r="B18" s="301" t="s">
        <v>844</v>
      </c>
      <c r="C18" s="302" t="s">
        <v>37</v>
      </c>
      <c r="D18" s="363">
        <f>SUM(D15:D17)</f>
        <v>70079</v>
      </c>
      <c r="E18" s="463">
        <f>SUM(E15:E17)</f>
        <v>29468</v>
      </c>
      <c r="F18" s="363">
        <f>D18-E18</f>
        <v>40611</v>
      </c>
      <c r="G18" s="457">
        <f t="shared" si="3"/>
        <v>0.42049999999999998</v>
      </c>
      <c r="H18" s="455">
        <f t="shared" ref="H18" si="5">G18</f>
        <v>0.42049999999999998</v>
      </c>
      <c r="I18" s="458"/>
    </row>
    <row r="19" spans="2:16" x14ac:dyDescent="0.3">
      <c r="B19" s="373"/>
      <c r="C19" s="384"/>
      <c r="D19" s="369"/>
      <c r="E19" s="464"/>
      <c r="F19" s="369"/>
      <c r="G19" s="456"/>
      <c r="N19" s="33" t="s">
        <v>1369</v>
      </c>
      <c r="O19" s="33" t="s">
        <v>1370</v>
      </c>
      <c r="P19" s="33" t="s">
        <v>1367</v>
      </c>
    </row>
    <row r="20" spans="2:16" x14ac:dyDescent="0.3">
      <c r="B20" s="367" t="s">
        <v>845</v>
      </c>
      <c r="C20" s="365" t="s">
        <v>38</v>
      </c>
      <c r="D20" s="465">
        <f>'[3]Gipping Valley'!$I$20</f>
        <v>12469</v>
      </c>
      <c r="E20" s="401">
        <f>'[2]Gipping Valley'!$D21</f>
        <v>8360</v>
      </c>
      <c r="F20" s="368">
        <f>D20-E20</f>
        <v>4109</v>
      </c>
      <c r="G20" s="366">
        <f>ROUND((E20/D20),4)</f>
        <v>0.67049999999999998</v>
      </c>
      <c r="H20" s="462"/>
      <c r="N20" s="33" t="s">
        <v>1365</v>
      </c>
      <c r="O20" s="33" t="s">
        <v>1366</v>
      </c>
    </row>
    <row r="21" spans="2:16" x14ac:dyDescent="0.3">
      <c r="B21" s="367" t="s">
        <v>846</v>
      </c>
      <c r="C21" s="365" t="s">
        <v>39</v>
      </c>
      <c r="D21" s="368">
        <f>'[3]Gipping Valley'!$I$21</f>
        <v>12877</v>
      </c>
      <c r="E21" s="401">
        <f>'[2]Gipping Valley'!$D22</f>
        <v>8947</v>
      </c>
      <c r="F21" s="368">
        <f>D21-E21</f>
        <v>3930</v>
      </c>
      <c r="G21" s="366">
        <f>ROUND((E21/D21),4)</f>
        <v>0.69479999999999997</v>
      </c>
      <c r="H21" s="462"/>
      <c r="N21" s="33" t="s">
        <v>1365</v>
      </c>
      <c r="O21" s="33" t="s">
        <v>1366</v>
      </c>
      <c r="P21" s="33" t="s">
        <v>1368</v>
      </c>
    </row>
    <row r="22" spans="2:16" x14ac:dyDescent="0.3">
      <c r="B22" s="367" t="s">
        <v>847</v>
      </c>
      <c r="C22" s="365" t="s">
        <v>40</v>
      </c>
      <c r="D22" s="368">
        <f>'[3]Gipping Valley'!$I$22</f>
        <v>3383</v>
      </c>
      <c r="E22" s="401">
        <f>'[2]Gipping Valley'!$D23</f>
        <v>2000</v>
      </c>
      <c r="F22" s="368">
        <f>D22-E22</f>
        <v>1383</v>
      </c>
      <c r="G22" s="366">
        <f>ROUND((E22/D22),4)</f>
        <v>0.59119999999999995</v>
      </c>
      <c r="H22" s="462"/>
      <c r="N22" s="33" t="s">
        <v>1369</v>
      </c>
      <c r="O22" s="33" t="s">
        <v>1370</v>
      </c>
      <c r="P22" s="33" t="s">
        <v>1367</v>
      </c>
    </row>
    <row r="23" spans="2:16" x14ac:dyDescent="0.3">
      <c r="B23" s="367" t="s">
        <v>848</v>
      </c>
      <c r="C23" s="365" t="s">
        <v>41</v>
      </c>
      <c r="D23" s="368">
        <f>'[3]Gipping Valley'!$I$23</f>
        <v>3978</v>
      </c>
      <c r="E23" s="401">
        <f>'[2]Gipping Valley'!$D24</f>
        <v>2666</v>
      </c>
      <c r="F23" s="368">
        <f t="shared" ref="F23:F28" si="6">D23-E23</f>
        <v>1312</v>
      </c>
      <c r="G23" s="366">
        <f t="shared" ref="G23:G28" si="7">ROUND((E23/D23),4)</f>
        <v>0.67020000000000002</v>
      </c>
      <c r="H23" s="462"/>
      <c r="N23" s="33" t="s">
        <v>1369</v>
      </c>
      <c r="O23" s="33" t="s">
        <v>1370</v>
      </c>
      <c r="P23" s="33" t="s">
        <v>1367</v>
      </c>
    </row>
    <row r="24" spans="2:16" x14ac:dyDescent="0.3">
      <c r="B24" s="367" t="s">
        <v>849</v>
      </c>
      <c r="C24" s="365" t="s">
        <v>42</v>
      </c>
      <c r="D24" s="368">
        <f>'[3]Gipping Valley'!$I$24</f>
        <v>21255</v>
      </c>
      <c r="E24" s="401">
        <f>'[2]Gipping Valley'!$D25</f>
        <v>14936</v>
      </c>
      <c r="F24" s="368">
        <f t="shared" si="6"/>
        <v>6319</v>
      </c>
      <c r="G24" s="366">
        <f t="shared" si="7"/>
        <v>0.70269999999999999</v>
      </c>
      <c r="H24" s="462"/>
      <c r="N24" s="33" t="s">
        <v>1365</v>
      </c>
      <c r="O24" s="33" t="s">
        <v>1366</v>
      </c>
    </row>
    <row r="25" spans="2:16" x14ac:dyDescent="0.3">
      <c r="B25" s="367" t="s">
        <v>850</v>
      </c>
      <c r="C25" s="365" t="s">
        <v>43</v>
      </c>
      <c r="D25" s="368">
        <f>'[3]Gipping Valley'!$I$25</f>
        <v>4339</v>
      </c>
      <c r="E25" s="401">
        <f>'[2]Gipping Valley'!$D26</f>
        <v>3000</v>
      </c>
      <c r="F25" s="368">
        <f t="shared" si="6"/>
        <v>1339</v>
      </c>
      <c r="G25" s="366">
        <f t="shared" si="7"/>
        <v>0.69140000000000001</v>
      </c>
      <c r="H25" s="462"/>
      <c r="N25" s="33" t="s">
        <v>1365</v>
      </c>
      <c r="O25" s="33" t="s">
        <v>1366</v>
      </c>
    </row>
    <row r="26" spans="2:16" x14ac:dyDescent="0.3">
      <c r="B26" s="367" t="s">
        <v>1338</v>
      </c>
      <c r="C26" s="365" t="s">
        <v>44</v>
      </c>
      <c r="D26" s="368">
        <f>'[3]Gipping Valley'!$I$26</f>
        <v>4701</v>
      </c>
      <c r="E26" s="401">
        <f>'[2]Gipping Valley'!$D27</f>
        <v>2000</v>
      </c>
      <c r="F26" s="368">
        <f t="shared" si="6"/>
        <v>2701</v>
      </c>
      <c r="G26" s="366">
        <f t="shared" si="7"/>
        <v>0.4254</v>
      </c>
      <c r="H26" s="462"/>
      <c r="N26" s="33" t="s">
        <v>1365</v>
      </c>
      <c r="O26" s="33" t="s">
        <v>1366</v>
      </c>
      <c r="P26" s="33" t="s">
        <v>1367</v>
      </c>
    </row>
    <row r="27" spans="2:16" s="32" customFormat="1" x14ac:dyDescent="0.3">
      <c r="B27" s="367" t="s">
        <v>852</v>
      </c>
      <c r="C27" s="365" t="s">
        <v>45</v>
      </c>
      <c r="D27" s="368">
        <f>'[3]Gipping Valley'!$I$27</f>
        <v>9401</v>
      </c>
      <c r="E27" s="401">
        <f>'[2]Gipping Valley'!$D28</f>
        <v>6270</v>
      </c>
      <c r="F27" s="368">
        <f t="shared" si="6"/>
        <v>3131</v>
      </c>
      <c r="G27" s="366">
        <f t="shared" si="7"/>
        <v>0.66700000000000004</v>
      </c>
      <c r="H27" s="462"/>
    </row>
    <row r="28" spans="2:16" s="32" customFormat="1" x14ac:dyDescent="0.3">
      <c r="B28" s="367"/>
      <c r="C28" s="466" t="s">
        <v>1636</v>
      </c>
      <c r="D28" s="368">
        <f>'[3]Gipping Valley'!$I$28</f>
        <v>-943</v>
      </c>
      <c r="E28" s="401"/>
      <c r="F28" s="368">
        <f t="shared" si="6"/>
        <v>-943</v>
      </c>
      <c r="G28" s="366">
        <f t="shared" si="7"/>
        <v>0</v>
      </c>
      <c r="H28" s="462"/>
    </row>
    <row r="29" spans="2:16" ht="14.5" thickBot="1" x14ac:dyDescent="0.35">
      <c r="B29" s="301" t="s">
        <v>853</v>
      </c>
      <c r="C29" s="302" t="s">
        <v>46</v>
      </c>
      <c r="D29" s="363">
        <f>SUM(D20:D28)</f>
        <v>71460</v>
      </c>
      <c r="E29" s="463">
        <f>SUM(E20:E28)</f>
        <v>48179</v>
      </c>
      <c r="F29" s="363">
        <f>D29-E29</f>
        <v>23281</v>
      </c>
      <c r="G29" s="457">
        <f t="shared" si="3"/>
        <v>0.67420000000000002</v>
      </c>
      <c r="H29" s="467">
        <f t="shared" ref="H29" si="8">G29</f>
        <v>0.67420000000000002</v>
      </c>
      <c r="I29" s="458"/>
    </row>
    <row r="30" spans="2:16" s="32" customFormat="1" x14ac:dyDescent="0.3">
      <c r="B30" s="367"/>
      <c r="C30" s="384"/>
      <c r="D30" s="369"/>
      <c r="E30" s="464"/>
      <c r="F30" s="369"/>
      <c r="G30" s="456"/>
      <c r="H30" s="33"/>
      <c r="N30" s="33" t="s">
        <v>1365</v>
      </c>
      <c r="O30" s="33" t="s">
        <v>1366</v>
      </c>
      <c r="P30" s="33" t="s">
        <v>1367</v>
      </c>
    </row>
    <row r="31" spans="2:16" ht="14.5" thickBot="1" x14ac:dyDescent="0.35">
      <c r="B31" s="535" t="s">
        <v>854</v>
      </c>
      <c r="C31" s="623" t="s">
        <v>47</v>
      </c>
      <c r="D31" s="618">
        <f>'[3]Gipping Valley'!$I$31</f>
        <v>66620</v>
      </c>
      <c r="E31" s="625">
        <f>'[2]Gipping Valley'!$D$31</f>
        <v>32000</v>
      </c>
      <c r="F31" s="618">
        <f>D31-E31</f>
        <v>34620</v>
      </c>
      <c r="G31" s="626">
        <f t="shared" si="3"/>
        <v>0.4803</v>
      </c>
      <c r="H31" s="455">
        <f>G31</f>
        <v>0.4803</v>
      </c>
    </row>
    <row r="32" spans="2:16" x14ac:dyDescent="0.3">
      <c r="B32" s="367"/>
      <c r="C32" s="365"/>
      <c r="D32" s="368"/>
      <c r="E32" s="402"/>
      <c r="F32" s="368"/>
      <c r="G32" s="366"/>
      <c r="N32" s="33" t="s">
        <v>1369</v>
      </c>
      <c r="O32" s="33" t="s">
        <v>1366</v>
      </c>
      <c r="P32" s="33" t="s">
        <v>1367</v>
      </c>
    </row>
    <row r="33" spans="2:16" x14ac:dyDescent="0.3">
      <c r="B33" s="367" t="s">
        <v>855</v>
      </c>
      <c r="C33" s="365" t="s">
        <v>48</v>
      </c>
      <c r="D33" s="368">
        <f>'[3]Gipping Valley'!$I$33</f>
        <v>5000</v>
      </c>
      <c r="E33" s="401">
        <f>'[2]Gipping Valley'!$D33</f>
        <v>3100</v>
      </c>
      <c r="F33" s="368">
        <f t="shared" ref="F33:F41" si="9">D33-E33</f>
        <v>1900</v>
      </c>
      <c r="G33" s="366">
        <f t="shared" ref="G33:G41" si="10">ROUND((E33/D33),4)</f>
        <v>0.62</v>
      </c>
      <c r="H33" s="462"/>
      <c r="N33" s="33" t="s">
        <v>1369</v>
      </c>
      <c r="O33" s="33" t="s">
        <v>1366</v>
      </c>
    </row>
    <row r="34" spans="2:16" x14ac:dyDescent="0.3">
      <c r="B34" s="635" t="s">
        <v>856</v>
      </c>
      <c r="C34" s="636" t="s">
        <v>49</v>
      </c>
      <c r="D34" s="637">
        <f>'[3]Gipping Valley'!$I$34</f>
        <v>5000</v>
      </c>
      <c r="E34" s="657">
        <f>'[2]Gipping Valley'!$D34</f>
        <v>0</v>
      </c>
      <c r="F34" s="637">
        <f t="shared" si="9"/>
        <v>5000</v>
      </c>
      <c r="G34" s="638">
        <f t="shared" si="10"/>
        <v>0</v>
      </c>
      <c r="H34" s="462"/>
      <c r="N34" s="33" t="s">
        <v>1365</v>
      </c>
      <c r="O34" s="33" t="s">
        <v>1366</v>
      </c>
    </row>
    <row r="35" spans="2:16" x14ac:dyDescent="0.3">
      <c r="B35" s="367" t="s">
        <v>857</v>
      </c>
      <c r="C35" s="365" t="s">
        <v>50</v>
      </c>
      <c r="D35" s="368">
        <f>'[3]Gipping Valley'!$I$35</f>
        <v>2500</v>
      </c>
      <c r="E35" s="401">
        <f>'[2]Gipping Valley'!$D35</f>
        <v>1600</v>
      </c>
      <c r="F35" s="368">
        <f t="shared" si="9"/>
        <v>900</v>
      </c>
      <c r="G35" s="366">
        <f t="shared" si="10"/>
        <v>0.64</v>
      </c>
      <c r="H35" s="462"/>
      <c r="N35" s="33" t="s">
        <v>1365</v>
      </c>
      <c r="O35" s="33" t="s">
        <v>1366</v>
      </c>
    </row>
    <row r="36" spans="2:16" x14ac:dyDescent="0.3">
      <c r="B36" s="367" t="s">
        <v>858</v>
      </c>
      <c r="C36" s="365" t="s">
        <v>51</v>
      </c>
      <c r="D36" s="368">
        <f>'[3]Gipping Valley'!$I$36</f>
        <v>2630</v>
      </c>
      <c r="E36" s="401">
        <f>'[2]Gipping Valley'!$D36</f>
        <v>1530</v>
      </c>
      <c r="F36" s="368">
        <f t="shared" si="9"/>
        <v>1100</v>
      </c>
      <c r="G36" s="366">
        <f t="shared" si="10"/>
        <v>0.58169999999999999</v>
      </c>
      <c r="H36" s="462"/>
    </row>
    <row r="37" spans="2:16" x14ac:dyDescent="0.3">
      <c r="B37" s="367" t="s">
        <v>859</v>
      </c>
      <c r="C37" s="365" t="s">
        <v>52</v>
      </c>
      <c r="D37" s="368">
        <f>'[3]Gipping Valley'!$I$37</f>
        <v>4000</v>
      </c>
      <c r="E37" s="401">
        <f>'[2]Gipping Valley'!$D37</f>
        <v>3250</v>
      </c>
      <c r="F37" s="368">
        <f t="shared" si="9"/>
        <v>750</v>
      </c>
      <c r="G37" s="366">
        <f t="shared" si="10"/>
        <v>0.8125</v>
      </c>
      <c r="H37" s="462"/>
      <c r="N37" s="33" t="s">
        <v>1369</v>
      </c>
      <c r="O37" s="33" t="s">
        <v>1370</v>
      </c>
      <c r="P37" s="33" t="s">
        <v>1367</v>
      </c>
    </row>
    <row r="38" spans="2:16" x14ac:dyDescent="0.3">
      <c r="B38" s="367" t="s">
        <v>860</v>
      </c>
      <c r="C38" s="365" t="s">
        <v>53</v>
      </c>
      <c r="D38" s="368">
        <f>'[3]Gipping Valley'!$I$38</f>
        <v>4500</v>
      </c>
      <c r="E38" s="401">
        <f>'[2]Gipping Valley'!$D38</f>
        <v>800</v>
      </c>
      <c r="F38" s="368">
        <f t="shared" si="9"/>
        <v>3700</v>
      </c>
      <c r="G38" s="366">
        <f t="shared" si="10"/>
        <v>0.17780000000000001</v>
      </c>
      <c r="H38" s="462"/>
    </row>
    <row r="39" spans="2:16" x14ac:dyDescent="0.3">
      <c r="B39" s="367" t="s">
        <v>861</v>
      </c>
      <c r="C39" s="365" t="s">
        <v>54</v>
      </c>
      <c r="D39" s="368">
        <f>'[3]Gipping Valley'!$I$39</f>
        <v>6250</v>
      </c>
      <c r="E39" s="401">
        <f>'[2]Gipping Valley'!$D39</f>
        <v>2000</v>
      </c>
      <c r="F39" s="368">
        <f t="shared" si="9"/>
        <v>4250</v>
      </c>
      <c r="G39" s="366">
        <f t="shared" si="10"/>
        <v>0.32</v>
      </c>
      <c r="H39" s="462"/>
      <c r="N39" s="33" t="s">
        <v>1369</v>
      </c>
      <c r="O39" s="33" t="s">
        <v>1370</v>
      </c>
      <c r="P39" s="33" t="s">
        <v>1367</v>
      </c>
    </row>
    <row r="40" spans="2:16" x14ac:dyDescent="0.3">
      <c r="B40" s="635" t="s">
        <v>862</v>
      </c>
      <c r="C40" s="636" t="s">
        <v>55</v>
      </c>
      <c r="D40" s="637">
        <f>'[3]Gipping Valley'!$I$40</f>
        <v>2000</v>
      </c>
      <c r="E40" s="657">
        <f>'[2]Gipping Valley'!$D40</f>
        <v>0</v>
      </c>
      <c r="F40" s="637">
        <f t="shared" si="9"/>
        <v>2000</v>
      </c>
      <c r="G40" s="638">
        <f t="shared" si="10"/>
        <v>0</v>
      </c>
      <c r="H40" s="462"/>
    </row>
    <row r="41" spans="2:16" s="32" customFormat="1" x14ac:dyDescent="0.3">
      <c r="B41" s="367" t="s">
        <v>863</v>
      </c>
      <c r="C41" s="435" t="s">
        <v>1616</v>
      </c>
      <c r="D41" s="369">
        <f>'[3]Gipping Valley'!$I$41</f>
        <v>27390</v>
      </c>
      <c r="E41" s="401">
        <f>'[2]Gipping Valley'!$D41</f>
        <v>0</v>
      </c>
      <c r="F41" s="369">
        <f t="shared" si="9"/>
        <v>27390</v>
      </c>
      <c r="G41" s="366">
        <f t="shared" si="10"/>
        <v>0</v>
      </c>
      <c r="H41" s="462"/>
    </row>
    <row r="42" spans="2:16" ht="14.5" thickBot="1" x14ac:dyDescent="0.35">
      <c r="B42" s="442"/>
      <c r="C42" s="468" t="s">
        <v>56</v>
      </c>
      <c r="D42" s="370">
        <f>SUM(D33:D41)</f>
        <v>59270</v>
      </c>
      <c r="E42" s="370">
        <f>SUM(E33:E41)</f>
        <v>12280</v>
      </c>
      <c r="F42" s="370">
        <f>D42-E42</f>
        <v>46990</v>
      </c>
      <c r="G42" s="469">
        <f t="shared" si="3"/>
        <v>0.2072</v>
      </c>
      <c r="H42" s="455">
        <f>G42</f>
        <v>0.2072</v>
      </c>
      <c r="I42" s="458"/>
    </row>
    <row r="43" spans="2:16" s="32" customFormat="1" x14ac:dyDescent="0.3">
      <c r="B43" s="470"/>
      <c r="C43" s="471"/>
      <c r="D43" s="471"/>
      <c r="E43" s="471"/>
      <c r="F43" s="471"/>
      <c r="G43" s="412"/>
      <c r="H43" s="33"/>
    </row>
    <row r="44" spans="2:16" s="32" customFormat="1" x14ac:dyDescent="0.3">
      <c r="B44" s="367" t="s">
        <v>1014</v>
      </c>
      <c r="C44" s="365" t="s">
        <v>203</v>
      </c>
      <c r="D44" s="368">
        <f>'[3]Gipping Valley'!$I$44</f>
        <v>24043</v>
      </c>
      <c r="E44" s="401">
        <f>'[2]Gipping Valley'!$D44</f>
        <v>14000</v>
      </c>
      <c r="F44" s="368">
        <f t="shared" ref="F44:F49" si="11">D44-E44</f>
        <v>10043</v>
      </c>
      <c r="G44" s="366">
        <f t="shared" ref="G44:G49" si="12">ROUND((E44/D44),4)</f>
        <v>0.58230000000000004</v>
      </c>
      <c r="H44" s="33"/>
    </row>
    <row r="45" spans="2:16" s="32" customFormat="1" x14ac:dyDescent="0.3">
      <c r="B45" s="367" t="s">
        <v>1015</v>
      </c>
      <c r="C45" s="365" t="s">
        <v>204</v>
      </c>
      <c r="D45" s="368">
        <f>'[3]Gipping Valley'!$I$45</f>
        <v>10743</v>
      </c>
      <c r="E45" s="401">
        <f>'[2]Gipping Valley'!$D45</f>
        <v>6000</v>
      </c>
      <c r="F45" s="368">
        <f t="shared" si="11"/>
        <v>4743</v>
      </c>
      <c r="G45" s="366">
        <f t="shared" si="12"/>
        <v>0.5585</v>
      </c>
      <c r="H45" s="33"/>
    </row>
    <row r="46" spans="2:16" s="32" customFormat="1" x14ac:dyDescent="0.3">
      <c r="B46" s="367" t="s">
        <v>1344</v>
      </c>
      <c r="C46" s="365" t="s">
        <v>205</v>
      </c>
      <c r="D46" s="368">
        <f>'[3]Gipping Valley'!$I$46</f>
        <v>2729</v>
      </c>
      <c r="E46" s="401">
        <f>'[2]Gipping Valley'!$D46</f>
        <v>2709</v>
      </c>
      <c r="F46" s="368">
        <f t="shared" si="11"/>
        <v>20</v>
      </c>
      <c r="G46" s="366">
        <f t="shared" si="12"/>
        <v>0.99270000000000003</v>
      </c>
      <c r="H46" s="33"/>
    </row>
    <row r="47" spans="2:16" s="32" customFormat="1" x14ac:dyDescent="0.3">
      <c r="B47" s="367" t="s">
        <v>1016</v>
      </c>
      <c r="C47" s="365" t="s">
        <v>206</v>
      </c>
      <c r="D47" s="368">
        <f>'[3]Gipping Valley'!$I$47</f>
        <v>14494</v>
      </c>
      <c r="E47" s="401">
        <f>'[2]Gipping Valley'!$D47</f>
        <v>10389</v>
      </c>
      <c r="F47" s="368">
        <f t="shared" si="11"/>
        <v>4105</v>
      </c>
      <c r="G47" s="366">
        <f t="shared" si="12"/>
        <v>0.71679999999999999</v>
      </c>
      <c r="H47" s="33"/>
    </row>
    <row r="48" spans="2:16" s="32" customFormat="1" x14ac:dyDescent="0.3">
      <c r="B48" s="367" t="s">
        <v>1017</v>
      </c>
      <c r="C48" s="365" t="s">
        <v>207</v>
      </c>
      <c r="D48" s="368">
        <f>'[3]Gipping Valley'!$I$48</f>
        <v>9038</v>
      </c>
      <c r="E48" s="401">
        <f>'[2]Gipping Valley'!$D48</f>
        <v>5992</v>
      </c>
      <c r="F48" s="368">
        <f t="shared" si="11"/>
        <v>3046</v>
      </c>
      <c r="G48" s="366">
        <f t="shared" si="12"/>
        <v>0.66300000000000003</v>
      </c>
      <c r="H48" s="33"/>
    </row>
    <row r="49" spans="2:8" s="32" customFormat="1" x14ac:dyDescent="0.3">
      <c r="B49" s="367" t="s">
        <v>1018</v>
      </c>
      <c r="C49" s="365" t="s">
        <v>208</v>
      </c>
      <c r="D49" s="368">
        <f>'[3]Gipping Valley'!$I$49</f>
        <v>7163</v>
      </c>
      <c r="E49" s="401">
        <f>'[2]Gipping Valley'!$D49</f>
        <v>3600</v>
      </c>
      <c r="F49" s="368">
        <f t="shared" si="11"/>
        <v>3563</v>
      </c>
      <c r="G49" s="366">
        <f t="shared" si="12"/>
        <v>0.50260000000000005</v>
      </c>
      <c r="H49" s="33"/>
    </row>
    <row r="50" spans="2:8" s="32" customFormat="1" ht="28.5" thickBot="1" x14ac:dyDescent="0.35">
      <c r="B50" s="472" t="s">
        <v>1019</v>
      </c>
      <c r="C50" s="473" t="s">
        <v>216</v>
      </c>
      <c r="D50" s="474">
        <f>SUM(D43:D49)</f>
        <v>68210</v>
      </c>
      <c r="E50" s="474">
        <f>SUM(E44:E49)</f>
        <v>42690</v>
      </c>
      <c r="F50" s="474">
        <f>D50-E50</f>
        <v>25520</v>
      </c>
      <c r="G50" s="475">
        <f t="shared" si="3"/>
        <v>0.62590000000000001</v>
      </c>
      <c r="H50" s="33"/>
    </row>
    <row r="51" spans="2:8" s="32" customFormat="1" x14ac:dyDescent="0.3">
      <c r="B51" s="367"/>
      <c r="C51" s="365"/>
      <c r="D51" s="368"/>
      <c r="E51" s="368"/>
      <c r="F51" s="368"/>
      <c r="G51" s="366"/>
      <c r="H51" s="33"/>
    </row>
    <row r="52" spans="2:8" s="32" customFormat="1" x14ac:dyDescent="0.3">
      <c r="B52" s="367" t="s">
        <v>1020</v>
      </c>
      <c r="C52" s="365" t="s">
        <v>209</v>
      </c>
      <c r="D52" s="368">
        <f>'[3]Gipping Valley'!$I$52</f>
        <v>27541</v>
      </c>
      <c r="E52" s="401">
        <f>'[2]Gipping Valley'!$D52</f>
        <v>15541</v>
      </c>
      <c r="F52" s="368">
        <f t="shared" ref="F52:F58" si="13">D52-E52</f>
        <v>12000</v>
      </c>
      <c r="G52" s="366">
        <f t="shared" ref="G52:G58" si="14">ROUND((E52/D52),4)</f>
        <v>0.56430000000000002</v>
      </c>
      <c r="H52" s="33"/>
    </row>
    <row r="53" spans="2:8" s="32" customFormat="1" x14ac:dyDescent="0.3">
      <c r="B53" s="367" t="s">
        <v>1021</v>
      </c>
      <c r="C53" s="365" t="s">
        <v>210</v>
      </c>
      <c r="D53" s="368">
        <f>'[3]Gipping Valley'!$I$53</f>
        <v>7079</v>
      </c>
      <c r="E53" s="401">
        <f>'[2]Gipping Valley'!$D53</f>
        <v>4723</v>
      </c>
      <c r="F53" s="368">
        <f t="shared" si="13"/>
        <v>2356</v>
      </c>
      <c r="G53" s="366">
        <f t="shared" si="14"/>
        <v>0.66720000000000002</v>
      </c>
      <c r="H53" s="33"/>
    </row>
    <row r="54" spans="2:8" s="32" customFormat="1" x14ac:dyDescent="0.3">
      <c r="B54" s="367" t="s">
        <v>1022</v>
      </c>
      <c r="C54" s="365" t="s">
        <v>211</v>
      </c>
      <c r="D54" s="368">
        <f>'[3]Gipping Valley'!$I$54</f>
        <v>10506</v>
      </c>
      <c r="E54" s="401">
        <f>'[2]Gipping Valley'!$D54</f>
        <v>7008</v>
      </c>
      <c r="F54" s="368">
        <f t="shared" si="13"/>
        <v>3498</v>
      </c>
      <c r="G54" s="366">
        <f t="shared" si="14"/>
        <v>0.66700000000000004</v>
      </c>
      <c r="H54" s="33"/>
    </row>
    <row r="55" spans="2:8" s="32" customFormat="1" x14ac:dyDescent="0.3">
      <c r="B55" s="644" t="s">
        <v>1023</v>
      </c>
      <c r="C55" s="645" t="s">
        <v>212</v>
      </c>
      <c r="D55" s="642">
        <f>'[3]Gipping Valley'!$I$55</f>
        <v>9407</v>
      </c>
      <c r="E55" s="658">
        <f>'[2]Gipping Valley'!$D55</f>
        <v>9408</v>
      </c>
      <c r="F55" s="642">
        <f t="shared" si="13"/>
        <v>-1</v>
      </c>
      <c r="G55" s="646">
        <f t="shared" si="14"/>
        <v>1.0001</v>
      </c>
      <c r="H55" s="33"/>
    </row>
    <row r="56" spans="2:8" s="32" customFormat="1" x14ac:dyDescent="0.3">
      <c r="B56" s="367" t="s">
        <v>1024</v>
      </c>
      <c r="C56" s="365" t="s">
        <v>213</v>
      </c>
      <c r="D56" s="368">
        <f>'[3]Gipping Valley'!$I$56</f>
        <v>4456</v>
      </c>
      <c r="E56" s="401">
        <f>'[2]Gipping Valley'!$D56</f>
        <v>2968</v>
      </c>
      <c r="F56" s="368">
        <f t="shared" si="13"/>
        <v>1488</v>
      </c>
      <c r="G56" s="366">
        <f t="shared" si="14"/>
        <v>0.66610000000000003</v>
      </c>
      <c r="H56" s="33"/>
    </row>
    <row r="57" spans="2:8" s="32" customFormat="1" x14ac:dyDescent="0.3">
      <c r="B57" s="367" t="s">
        <v>1025</v>
      </c>
      <c r="C57" s="365" t="s">
        <v>214</v>
      </c>
      <c r="D57" s="368">
        <f>'[3]Gipping Valley'!$I$57</f>
        <v>7100</v>
      </c>
      <c r="E57" s="401">
        <f>'[2]Gipping Valley'!$D57</f>
        <v>5325</v>
      </c>
      <c r="F57" s="368">
        <f t="shared" si="13"/>
        <v>1775</v>
      </c>
      <c r="G57" s="366">
        <f t="shared" si="14"/>
        <v>0.75</v>
      </c>
      <c r="H57" s="33"/>
    </row>
    <row r="58" spans="2:8" s="32" customFormat="1" x14ac:dyDescent="0.3">
      <c r="B58" s="373" t="s">
        <v>1026</v>
      </c>
      <c r="C58" s="384" t="s">
        <v>215</v>
      </c>
      <c r="D58" s="368">
        <f>'[3]Gipping Valley'!$I$58</f>
        <v>5337</v>
      </c>
      <c r="E58" s="401">
        <f>'[2]Gipping Valley'!$D58</f>
        <v>3560</v>
      </c>
      <c r="F58" s="368">
        <f t="shared" si="13"/>
        <v>1777</v>
      </c>
      <c r="G58" s="366">
        <f t="shared" si="14"/>
        <v>0.66700000000000004</v>
      </c>
      <c r="H58" s="33"/>
    </row>
    <row r="59" spans="2:8" s="32" customFormat="1" ht="42.5" thickBot="1" x14ac:dyDescent="0.35">
      <c r="B59" s="472" t="s">
        <v>1027</v>
      </c>
      <c r="C59" s="473" t="s">
        <v>1383</v>
      </c>
      <c r="D59" s="474">
        <f>SUM(D51:D58)</f>
        <v>71426</v>
      </c>
      <c r="E59" s="474">
        <f>SUM(E52:E58)</f>
        <v>48533</v>
      </c>
      <c r="F59" s="474">
        <f>D59-E59</f>
        <v>22893</v>
      </c>
      <c r="G59" s="475">
        <f t="shared" si="3"/>
        <v>0.67949999999999999</v>
      </c>
      <c r="H59" s="33"/>
    </row>
    <row r="60" spans="2:8" s="32" customFormat="1" x14ac:dyDescent="0.3">
      <c r="B60" s="367"/>
      <c r="C60" s="365"/>
      <c r="D60" s="368"/>
      <c r="E60" s="368"/>
      <c r="F60" s="368"/>
      <c r="G60" s="366"/>
      <c r="H60" s="33"/>
    </row>
    <row r="61" spans="2:8" s="32" customFormat="1" x14ac:dyDescent="0.3">
      <c r="B61" s="367" t="s">
        <v>1028</v>
      </c>
      <c r="C61" s="365" t="s">
        <v>217</v>
      </c>
      <c r="D61" s="368">
        <f>'[3]Gipping Valley'!$I$61</f>
        <v>27220</v>
      </c>
      <c r="E61" s="401">
        <f>'[2]Gipping Valley'!$D61</f>
        <v>13554</v>
      </c>
      <c r="F61" s="368">
        <f t="shared" ref="F61:F63" si="15">D61-E61</f>
        <v>13666</v>
      </c>
      <c r="G61" s="366">
        <f t="shared" ref="G61:G63" si="16">ROUND((E61/D61),4)</f>
        <v>0.49790000000000001</v>
      </c>
      <c r="H61" s="33"/>
    </row>
    <row r="62" spans="2:8" s="32" customFormat="1" x14ac:dyDescent="0.3">
      <c r="B62" s="367" t="s">
        <v>1029</v>
      </c>
      <c r="C62" s="365" t="s">
        <v>218</v>
      </c>
      <c r="D62" s="368">
        <f>'[3]Gipping Valley'!$I$62</f>
        <v>27220</v>
      </c>
      <c r="E62" s="401">
        <f>'[2]Gipping Valley'!$D62</f>
        <v>6000</v>
      </c>
      <c r="F62" s="368">
        <f t="shared" si="15"/>
        <v>21220</v>
      </c>
      <c r="G62" s="366">
        <f t="shared" si="16"/>
        <v>0.22040000000000001</v>
      </c>
      <c r="H62" s="33"/>
    </row>
    <row r="63" spans="2:8" s="32" customFormat="1" x14ac:dyDescent="0.3">
      <c r="B63" s="367" t="s">
        <v>1030</v>
      </c>
      <c r="C63" s="365" t="s">
        <v>219</v>
      </c>
      <c r="D63" s="368">
        <f>'[3]Gipping Valley'!$I$63</f>
        <v>14000</v>
      </c>
      <c r="E63" s="401">
        <f>'[2]Gipping Valley'!$D63</f>
        <v>7000</v>
      </c>
      <c r="F63" s="368">
        <f t="shared" si="15"/>
        <v>7000</v>
      </c>
      <c r="G63" s="366">
        <f t="shared" si="16"/>
        <v>0.5</v>
      </c>
      <c r="H63" s="33"/>
    </row>
    <row r="64" spans="2:8" s="32" customFormat="1" ht="14.5" thickBot="1" x14ac:dyDescent="0.35">
      <c r="B64" s="301" t="s">
        <v>1031</v>
      </c>
      <c r="C64" s="302" t="s">
        <v>220</v>
      </c>
      <c r="D64" s="363">
        <f>SUM(D61:D63)</f>
        <v>68440</v>
      </c>
      <c r="E64" s="363">
        <f>SUM(E61:E63)</f>
        <v>26554</v>
      </c>
      <c r="F64" s="363">
        <f t="shared" ref="F64:F70" si="17">D64-E64</f>
        <v>41886</v>
      </c>
      <c r="G64" s="364">
        <f>ROUND((E64/D64),4)</f>
        <v>0.38800000000000001</v>
      </c>
      <c r="H64" s="33"/>
    </row>
    <row r="65" spans="2:21" s="32" customFormat="1" x14ac:dyDescent="0.3">
      <c r="B65" s="367"/>
      <c r="C65" s="365"/>
      <c r="D65" s="368"/>
      <c r="E65" s="431"/>
      <c r="F65" s="368"/>
      <c r="G65" s="366"/>
      <c r="H65" s="33"/>
    </row>
    <row r="66" spans="2:21" s="32" customFormat="1" x14ac:dyDescent="0.3">
      <c r="B66" s="476" t="s">
        <v>1032</v>
      </c>
      <c r="C66" s="477" t="s">
        <v>221</v>
      </c>
      <c r="D66" s="434">
        <f>'[3]Gipping Valley'!$I$66</f>
        <v>66369</v>
      </c>
      <c r="E66" s="401">
        <f>'[2]Gipping Valley'!$D66</f>
        <v>16000</v>
      </c>
      <c r="F66" s="478">
        <f t="shared" ref="F66" si="18">D66-E66</f>
        <v>50369</v>
      </c>
      <c r="G66" s="479">
        <f t="shared" ref="G66" si="19">ROUND((E66/D66),4)</f>
        <v>0.24110000000000001</v>
      </c>
      <c r="H66" s="33"/>
    </row>
    <row r="67" spans="2:21" s="32" customFormat="1" x14ac:dyDescent="0.3">
      <c r="B67" s="480"/>
      <c r="C67" s="471" t="s">
        <v>606</v>
      </c>
      <c r="D67" s="368"/>
      <c r="E67" s="401">
        <v>0</v>
      </c>
      <c r="F67" s="447">
        <f>D67</f>
        <v>0</v>
      </c>
      <c r="G67" s="366"/>
      <c r="H67" s="33"/>
    </row>
    <row r="68" spans="2:21" s="32" customFormat="1" ht="14.5" thickBot="1" x14ac:dyDescent="0.35">
      <c r="B68" s="442"/>
      <c r="C68" s="468" t="s">
        <v>221</v>
      </c>
      <c r="D68" s="363">
        <f>D66+D67</f>
        <v>66369</v>
      </c>
      <c r="E68" s="363">
        <f t="shared" ref="E68:F68" si="20">E66+E67</f>
        <v>16000</v>
      </c>
      <c r="F68" s="363">
        <f t="shared" si="20"/>
        <v>50369</v>
      </c>
      <c r="G68" s="364">
        <f t="shared" ref="G68:G70" si="21">ROUND((E68/D68),4)</f>
        <v>0.24110000000000001</v>
      </c>
      <c r="H68" s="33"/>
    </row>
    <row r="69" spans="2:21" s="32" customFormat="1" x14ac:dyDescent="0.3">
      <c r="B69" s="367"/>
      <c r="C69" s="365"/>
      <c r="D69" s="368"/>
      <c r="E69" s="368"/>
      <c r="F69" s="368"/>
      <c r="G69" s="366"/>
      <c r="H69" s="33"/>
    </row>
    <row r="70" spans="2:21" s="32" customFormat="1" x14ac:dyDescent="0.3">
      <c r="B70" s="627" t="s">
        <v>1033</v>
      </c>
      <c r="C70" s="628" t="s">
        <v>11</v>
      </c>
      <c r="D70" s="620">
        <f>'[3]Gipping Valley'!$I$69</f>
        <v>72554</v>
      </c>
      <c r="E70" s="620">
        <f>'[2]Gipping Valley'!$D$70</f>
        <v>49354</v>
      </c>
      <c r="F70" s="620">
        <f t="shared" si="17"/>
        <v>23200</v>
      </c>
      <c r="G70" s="629">
        <f t="shared" si="21"/>
        <v>0.68020000000000003</v>
      </c>
      <c r="H70" s="33"/>
    </row>
    <row r="71" spans="2:21" s="32" customFormat="1" x14ac:dyDescent="0.3">
      <c r="B71" s="445"/>
      <c r="C71" s="471"/>
      <c r="D71" s="447"/>
      <c r="E71" s="447"/>
      <c r="F71" s="447"/>
      <c r="G71" s="412"/>
      <c r="H71" s="33"/>
    </row>
    <row r="72" spans="2:21" s="32" customFormat="1" ht="14.5" thickBot="1" x14ac:dyDescent="0.35">
      <c r="B72" s="442"/>
      <c r="C72" s="468"/>
      <c r="D72" s="370"/>
      <c r="E72" s="370"/>
      <c r="F72" s="370"/>
      <c r="G72" s="399"/>
      <c r="H72" s="33"/>
    </row>
    <row r="73" spans="2:21" s="32" customFormat="1" x14ac:dyDescent="0.3">
      <c r="B73" s="445"/>
      <c r="C73" s="471"/>
      <c r="D73" s="447"/>
      <c r="E73" s="447"/>
      <c r="F73" s="447"/>
      <c r="G73" s="412"/>
      <c r="H73" s="33"/>
    </row>
    <row r="74" spans="2:21" s="32" customFormat="1" x14ac:dyDescent="0.3">
      <c r="B74" s="367"/>
      <c r="C74" s="365" t="s">
        <v>1353</v>
      </c>
      <c r="D74" s="368">
        <f>'[3]Gipping Valley'!$I$71</f>
        <v>-2783</v>
      </c>
      <c r="E74" s="368">
        <v>0</v>
      </c>
      <c r="F74" s="368">
        <f>D74-E74</f>
        <v>-2783</v>
      </c>
      <c r="G74" s="366"/>
      <c r="H74" s="33"/>
    </row>
    <row r="75" spans="2:21" s="32" customFormat="1" x14ac:dyDescent="0.3">
      <c r="B75" s="445"/>
      <c r="C75" s="471"/>
      <c r="D75" s="447"/>
      <c r="E75" s="447"/>
      <c r="F75" s="447"/>
      <c r="G75" s="412"/>
      <c r="H75" s="33"/>
    </row>
    <row r="76" spans="2:21" s="32" customFormat="1" ht="14.5" thickBot="1" x14ac:dyDescent="0.35">
      <c r="B76" s="442"/>
      <c r="C76" s="468" t="s">
        <v>607</v>
      </c>
      <c r="D76" s="370">
        <f>D13+D18+D29+D31+D42-D12+D50+D59+D64+D66+D70+D74</f>
        <v>633145</v>
      </c>
      <c r="E76" s="370">
        <f>SUM(E42,E31,E29,E18,E13)+E50+E59+E64+E68+E70+E72</f>
        <v>317458</v>
      </c>
      <c r="F76" s="370">
        <f>D76-E76</f>
        <v>315687</v>
      </c>
      <c r="G76" s="469">
        <f t="shared" si="3"/>
        <v>0.50139999999999996</v>
      </c>
      <c r="U76" s="482"/>
    </row>
    <row r="77" spans="2:21" s="32" customFormat="1" x14ac:dyDescent="0.3">
      <c r="B77" s="450"/>
      <c r="C77" s="483"/>
      <c r="D77" s="448"/>
      <c r="E77" s="448"/>
      <c r="F77" s="448"/>
      <c r="G77" s="484"/>
    </row>
    <row r="78" spans="2:21" s="32" customFormat="1" x14ac:dyDescent="0.3">
      <c r="B78" s="450"/>
      <c r="C78" s="483"/>
      <c r="D78" s="448"/>
      <c r="E78" s="448"/>
      <c r="F78" s="448"/>
      <c r="G78" s="416"/>
    </row>
    <row r="79" spans="2:21" ht="14.5" thickBot="1" x14ac:dyDescent="0.35">
      <c r="B79" s="442"/>
      <c r="C79" s="468" t="s">
        <v>1530</v>
      </c>
      <c r="D79" s="370">
        <f>D76+D12+D67</f>
        <v>633145</v>
      </c>
      <c r="E79" s="370">
        <f>E76+E12</f>
        <v>317458</v>
      </c>
      <c r="F79" s="370">
        <f>F76+F12</f>
        <v>315687</v>
      </c>
      <c r="G79" s="469">
        <f t="shared" ref="G79" si="22">ROUND((E79/D79),4)</f>
        <v>0.50139999999999996</v>
      </c>
      <c r="H79" s="32"/>
      <c r="S79" s="32"/>
      <c r="T79" s="32"/>
      <c r="U79" s="482"/>
    </row>
    <row r="80" spans="2:21" x14ac:dyDescent="0.3">
      <c r="B80" s="445"/>
      <c r="C80" s="471"/>
      <c r="D80" s="447"/>
      <c r="E80" s="447"/>
      <c r="F80" s="447"/>
      <c r="G80" s="412"/>
    </row>
    <row r="81" spans="2:21" ht="14.5" thickBot="1" x14ac:dyDescent="0.35">
      <c r="B81" s="442"/>
      <c r="C81" s="468" t="s">
        <v>1657</v>
      </c>
      <c r="D81" s="370">
        <f>[5]Summary!$D$8</f>
        <v>595122</v>
      </c>
      <c r="E81" s="363">
        <f>'[6]Gipping Valley'!$D$74</f>
        <v>336842</v>
      </c>
      <c r="F81" s="370">
        <f>D81-E81</f>
        <v>258280</v>
      </c>
      <c r="G81" s="469">
        <f>E81/D81</f>
        <v>0.56600495360615133</v>
      </c>
      <c r="T81" s="32"/>
      <c r="U81" s="482"/>
    </row>
    <row r="90" spans="2:21" ht="34.5" x14ac:dyDescent="0.65">
      <c r="C90" s="485"/>
      <c r="D90" s="485"/>
      <c r="E90" s="485"/>
      <c r="F90" s="485"/>
      <c r="G90" s="486"/>
      <c r="H90" s="485"/>
      <c r="I90" s="487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&amp;L&amp;D&amp;R&amp;Z&amp;F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48"/>
  <sheetViews>
    <sheetView topLeftCell="A36" zoomScaleNormal="100" workbookViewId="0">
      <selection activeCell="B10" sqref="B10:G10"/>
    </sheetView>
  </sheetViews>
  <sheetFormatPr defaultColWidth="8.58203125" defaultRowHeight="14" x14ac:dyDescent="0.3"/>
  <cols>
    <col min="1" max="1" width="9" style="33" customWidth="1"/>
    <col min="2" max="2" width="10.83203125" style="33" bestFit="1" customWidth="1"/>
    <col min="3" max="3" width="48" style="33" customWidth="1"/>
    <col min="4" max="6" width="12" style="33" bestFit="1" customWidth="1"/>
    <col min="7" max="7" width="12.5" style="214" bestFit="1" customWidth="1"/>
    <col min="8" max="8" width="10.75" style="33" hidden="1" customWidth="1"/>
    <col min="9" max="10" width="9" style="33" hidden="1" customWidth="1"/>
    <col min="11" max="11" width="22.58203125" style="33" hidden="1" customWidth="1"/>
    <col min="12" max="12" width="9" style="33" hidden="1" customWidth="1"/>
    <col min="13" max="13" width="2.83203125" style="33" hidden="1" customWidth="1"/>
    <col min="14" max="14" width="16.75" style="33" hidden="1" customWidth="1"/>
    <col min="15" max="15" width="15.5" style="33" hidden="1" customWidth="1"/>
    <col min="16" max="16" width="10.83203125" style="33" hidden="1" customWidth="1"/>
    <col min="17" max="16384" width="8.58203125" style="33"/>
  </cols>
  <sheetData>
    <row r="1" spans="2:16" ht="14.5" thickBot="1" x14ac:dyDescent="0.35"/>
    <row r="2" spans="2:16" s="404" customFormat="1" ht="23" thickBot="1" x14ac:dyDescent="0.5">
      <c r="B2" s="405"/>
      <c r="C2" s="488" t="str">
        <f>Summary!A1</f>
        <v>Parish Share 2022</v>
      </c>
      <c r="D2" s="407"/>
      <c r="E2" s="407"/>
      <c r="F2" s="407"/>
      <c r="G2" s="408"/>
      <c r="N2" s="404" t="s">
        <v>554</v>
      </c>
    </row>
    <row r="3" spans="2:16" ht="14.5" thickBot="1" x14ac:dyDescent="0.35">
      <c r="B3" s="410"/>
      <c r="C3" s="411"/>
      <c r="D3" s="411"/>
      <c r="E3" s="411"/>
      <c r="F3" s="411"/>
      <c r="G3" s="412"/>
      <c r="J3" s="33" t="s">
        <v>544</v>
      </c>
      <c r="K3" s="33" t="s">
        <v>545</v>
      </c>
      <c r="L3" s="33">
        <v>0</v>
      </c>
    </row>
    <row r="4" spans="2:16" s="32" customFormat="1" ht="18" thickBot="1" x14ac:dyDescent="0.4">
      <c r="B4" s="413"/>
      <c r="C4" s="414" t="s">
        <v>92</v>
      </c>
      <c r="D4" s="667">
        <f>Period</f>
        <v>44804</v>
      </c>
      <c r="E4" s="667"/>
      <c r="F4" s="415"/>
      <c r="G4" s="416"/>
      <c r="J4" s="33"/>
      <c r="K4" s="33" t="s">
        <v>543</v>
      </c>
      <c r="L4" s="33">
        <v>1</v>
      </c>
    </row>
    <row r="5" spans="2:16" ht="14.5" thickBot="1" x14ac:dyDescent="0.35">
      <c r="B5" s="410"/>
      <c r="C5" s="411"/>
      <c r="D5" s="411"/>
      <c r="E5" s="411"/>
      <c r="F5" s="411"/>
      <c r="G5" s="412"/>
      <c r="J5" s="32"/>
      <c r="K5" s="33" t="s">
        <v>1538</v>
      </c>
      <c r="L5" s="33">
        <v>0</v>
      </c>
    </row>
    <row r="6" spans="2:16" s="32" customFormat="1" ht="14.5" thickBot="1" x14ac:dyDescent="0.35">
      <c r="B6" s="418" t="s">
        <v>592</v>
      </c>
      <c r="C6" s="419" t="s">
        <v>28</v>
      </c>
      <c r="D6" s="420" t="s">
        <v>1</v>
      </c>
      <c r="E6" s="420" t="s">
        <v>2</v>
      </c>
      <c r="F6" s="420" t="s">
        <v>3</v>
      </c>
      <c r="G6" s="421" t="s">
        <v>4</v>
      </c>
      <c r="H6" s="32" t="s">
        <v>552</v>
      </c>
      <c r="K6" s="33" t="s">
        <v>1539</v>
      </c>
      <c r="L6" s="33">
        <v>4</v>
      </c>
      <c r="N6" s="32" t="s">
        <v>1362</v>
      </c>
      <c r="O6" s="32" t="s">
        <v>1363</v>
      </c>
      <c r="P6" s="32" t="s">
        <v>1364</v>
      </c>
    </row>
    <row r="7" spans="2:16" x14ac:dyDescent="0.3">
      <c r="B7" s="422"/>
      <c r="C7" s="424"/>
      <c r="D7" s="459"/>
      <c r="E7" s="424"/>
      <c r="F7" s="423"/>
      <c r="G7" s="454"/>
      <c r="K7" s="33" t="s">
        <v>547</v>
      </c>
      <c r="L7" s="33">
        <v>0</v>
      </c>
    </row>
    <row r="8" spans="2:16" x14ac:dyDescent="0.3">
      <c r="B8" s="367" t="s">
        <v>897</v>
      </c>
      <c r="C8" s="489" t="s">
        <v>93</v>
      </c>
      <c r="D8" s="434">
        <f>[3]Hadleigh!$I$8</f>
        <v>18210</v>
      </c>
      <c r="E8" s="368">
        <f>[2]Hadleigh!$D8</f>
        <v>10623</v>
      </c>
      <c r="F8" s="368">
        <f>D8-E8</f>
        <v>7587</v>
      </c>
      <c r="G8" s="366">
        <f t="shared" ref="G8:G13" si="0">ROUND((E8/D8),4)</f>
        <v>0.58340000000000003</v>
      </c>
      <c r="H8" s="462"/>
      <c r="L8" s="33">
        <f>SUM(L3:L7)</f>
        <v>5</v>
      </c>
      <c r="N8" s="33" t="s">
        <v>1369</v>
      </c>
      <c r="O8" s="33" t="s">
        <v>1366</v>
      </c>
      <c r="P8" s="33" t="s">
        <v>1367</v>
      </c>
    </row>
    <row r="9" spans="2:16" x14ac:dyDescent="0.3">
      <c r="B9" s="367" t="s">
        <v>898</v>
      </c>
      <c r="C9" s="365" t="s">
        <v>94</v>
      </c>
      <c r="D9" s="368">
        <f>[3]Hadleigh!$I$9</f>
        <v>1000</v>
      </c>
      <c r="E9" s="368">
        <f>[2]Hadleigh!$D9</f>
        <v>600</v>
      </c>
      <c r="F9" s="368">
        <f t="shared" ref="F9:F13" si="1">D9-E9</f>
        <v>400</v>
      </c>
      <c r="G9" s="366">
        <f t="shared" si="0"/>
        <v>0.6</v>
      </c>
    </row>
    <row r="10" spans="2:16" x14ac:dyDescent="0.3">
      <c r="B10" s="644" t="s">
        <v>899</v>
      </c>
      <c r="C10" s="645" t="s">
        <v>95</v>
      </c>
      <c r="D10" s="642">
        <f>[3]Hadleigh!$I$10</f>
        <v>5888</v>
      </c>
      <c r="E10" s="642">
        <f>[2]Hadleigh!$D10</f>
        <v>5888</v>
      </c>
      <c r="F10" s="642">
        <f t="shared" si="1"/>
        <v>0</v>
      </c>
      <c r="G10" s="646">
        <f t="shared" si="0"/>
        <v>1</v>
      </c>
      <c r="H10" s="462"/>
    </row>
    <row r="11" spans="2:16" x14ac:dyDescent="0.3">
      <c r="B11" s="367" t="s">
        <v>900</v>
      </c>
      <c r="C11" s="365" t="s">
        <v>96</v>
      </c>
      <c r="D11" s="368">
        <f>[3]Hadleigh!$I$11</f>
        <v>6494</v>
      </c>
      <c r="E11" s="368">
        <f>[2]Hadleigh!$D11</f>
        <v>3248</v>
      </c>
      <c r="F11" s="368">
        <f t="shared" si="1"/>
        <v>3246</v>
      </c>
      <c r="G11" s="366">
        <f t="shared" si="0"/>
        <v>0.50019999999999998</v>
      </c>
      <c r="H11" s="462"/>
      <c r="N11" s="33" t="s">
        <v>1365</v>
      </c>
      <c r="O11" s="33" t="s">
        <v>1366</v>
      </c>
      <c r="P11" s="33" t="s">
        <v>1368</v>
      </c>
    </row>
    <row r="12" spans="2:16" x14ac:dyDescent="0.3">
      <c r="B12" s="367" t="s">
        <v>901</v>
      </c>
      <c r="C12" s="365" t="s">
        <v>97</v>
      </c>
      <c r="D12" s="368">
        <f>[3]Hadleigh!$I$12</f>
        <v>5888</v>
      </c>
      <c r="E12" s="368">
        <f>[2]Hadleigh!$D12</f>
        <v>4416</v>
      </c>
      <c r="F12" s="368">
        <f t="shared" si="1"/>
        <v>1472</v>
      </c>
      <c r="G12" s="366">
        <f t="shared" si="0"/>
        <v>0.75</v>
      </c>
      <c r="H12" s="462"/>
      <c r="N12" s="33" t="s">
        <v>1369</v>
      </c>
      <c r="O12" s="33" t="s">
        <v>1366</v>
      </c>
    </row>
    <row r="13" spans="2:16" x14ac:dyDescent="0.3">
      <c r="B13" s="367" t="s">
        <v>902</v>
      </c>
      <c r="C13" s="365" t="s">
        <v>98</v>
      </c>
      <c r="D13" s="368">
        <f>[3]Hadleigh!$I$13</f>
        <v>9102</v>
      </c>
      <c r="E13" s="368">
        <f>[2]Hadleigh!$D13</f>
        <v>6902</v>
      </c>
      <c r="F13" s="368">
        <f t="shared" si="1"/>
        <v>2200</v>
      </c>
      <c r="G13" s="366">
        <f t="shared" si="0"/>
        <v>0.75829999999999997</v>
      </c>
      <c r="H13" s="462"/>
      <c r="N13" s="33" t="s">
        <v>1369</v>
      </c>
      <c r="O13" s="33" t="s">
        <v>1370</v>
      </c>
      <c r="P13" s="33" t="s">
        <v>1367</v>
      </c>
    </row>
    <row r="14" spans="2:16" s="490" customFormat="1" ht="28.5" thickBot="1" x14ac:dyDescent="0.35">
      <c r="B14" s="472" t="s">
        <v>1340</v>
      </c>
      <c r="C14" s="473" t="s">
        <v>118</v>
      </c>
      <c r="D14" s="474">
        <f>SUM(D8:D13)</f>
        <v>46582</v>
      </c>
      <c r="E14" s="474">
        <f>SUM(E8:E13)</f>
        <v>31677</v>
      </c>
      <c r="F14" s="474">
        <f>D14-E14</f>
        <v>14905</v>
      </c>
      <c r="G14" s="403">
        <f t="shared" ref="G14:G46" si="2">ROUND((E14/D14),4)</f>
        <v>0.68</v>
      </c>
      <c r="H14" s="491">
        <f>G14</f>
        <v>0.68</v>
      </c>
    </row>
    <row r="15" spans="2:16" x14ac:dyDescent="0.3">
      <c r="B15" s="429"/>
      <c r="C15" s="459"/>
      <c r="D15" s="431"/>
      <c r="E15" s="431"/>
      <c r="F15" s="431"/>
      <c r="G15" s="461"/>
    </row>
    <row r="16" spans="2:16" x14ac:dyDescent="0.3">
      <c r="B16" s="367" t="s">
        <v>903</v>
      </c>
      <c r="C16" s="365" t="s">
        <v>99</v>
      </c>
      <c r="D16" s="368">
        <f>[3]Hadleigh!$I$16</f>
        <v>11000</v>
      </c>
      <c r="E16" s="368">
        <f>[2]Hadleigh!$D16</f>
        <v>5800</v>
      </c>
      <c r="F16" s="368">
        <f>D16-E16</f>
        <v>5200</v>
      </c>
      <c r="G16" s="366">
        <f t="shared" ref="G16:G19" si="3">ROUND((E16/D16),4)</f>
        <v>0.52729999999999999</v>
      </c>
      <c r="H16" s="462"/>
      <c r="N16" s="33" t="s">
        <v>1365</v>
      </c>
      <c r="O16" s="33" t="s">
        <v>1366</v>
      </c>
    </row>
    <row r="17" spans="2:16" x14ac:dyDescent="0.3">
      <c r="B17" s="367" t="s">
        <v>904</v>
      </c>
      <c r="C17" s="365" t="s">
        <v>100</v>
      </c>
      <c r="D17" s="368">
        <f>[3]Hadleigh!$I$17</f>
        <v>14715</v>
      </c>
      <c r="E17" s="368">
        <f>[2]Hadleigh!$D17</f>
        <v>7000</v>
      </c>
      <c r="F17" s="368">
        <f t="shared" ref="F17:F19" si="4">D17-E17</f>
        <v>7715</v>
      </c>
      <c r="G17" s="366">
        <f t="shared" si="3"/>
        <v>0.47570000000000001</v>
      </c>
      <c r="H17" s="462"/>
      <c r="N17" s="33" t="s">
        <v>1365</v>
      </c>
      <c r="O17" s="33" t="s">
        <v>1366</v>
      </c>
    </row>
    <row r="18" spans="2:16" x14ac:dyDescent="0.3">
      <c r="B18" s="367" t="s">
        <v>905</v>
      </c>
      <c r="C18" s="365" t="s">
        <v>101</v>
      </c>
      <c r="D18" s="368">
        <f>[3]Hadleigh!$I$19</f>
        <v>22500</v>
      </c>
      <c r="E18" s="368">
        <f>[2]Hadleigh!$D18</f>
        <v>16350</v>
      </c>
      <c r="F18" s="368">
        <f t="shared" si="4"/>
        <v>6150</v>
      </c>
      <c r="G18" s="366">
        <f t="shared" si="3"/>
        <v>0.72670000000000001</v>
      </c>
      <c r="H18" s="462"/>
      <c r="N18" s="33" t="s">
        <v>1372</v>
      </c>
      <c r="O18" s="33" t="s">
        <v>1370</v>
      </c>
      <c r="P18" s="33" t="s">
        <v>1367</v>
      </c>
    </row>
    <row r="19" spans="2:16" x14ac:dyDescent="0.3">
      <c r="B19" s="367" t="s">
        <v>906</v>
      </c>
      <c r="C19" s="365" t="s">
        <v>102</v>
      </c>
      <c r="D19" s="368">
        <f>[3]Hadleigh!$I$18</f>
        <v>13560</v>
      </c>
      <c r="E19" s="368">
        <f>[2]Hadleigh!$D19</f>
        <v>6780</v>
      </c>
      <c r="F19" s="368">
        <f t="shared" si="4"/>
        <v>6780</v>
      </c>
      <c r="G19" s="366">
        <f t="shared" si="3"/>
        <v>0.5</v>
      </c>
      <c r="H19" s="462"/>
      <c r="N19" s="33" t="s">
        <v>1369</v>
      </c>
      <c r="O19" s="33" t="s">
        <v>1370</v>
      </c>
      <c r="P19" s="33" t="s">
        <v>1367</v>
      </c>
    </row>
    <row r="20" spans="2:16" x14ac:dyDescent="0.3">
      <c r="B20" s="367"/>
      <c r="C20" s="365" t="s">
        <v>532</v>
      </c>
      <c r="D20" s="368">
        <v>6400</v>
      </c>
      <c r="E20" s="368"/>
      <c r="F20" s="368"/>
      <c r="G20" s="366"/>
      <c r="H20" s="462"/>
    </row>
    <row r="21" spans="2:16" s="490" customFormat="1" ht="28.5" thickBot="1" x14ac:dyDescent="0.35">
      <c r="B21" s="472" t="s">
        <v>1341</v>
      </c>
      <c r="C21" s="473" t="s">
        <v>117</v>
      </c>
      <c r="D21" s="474">
        <f>SUM(D16:D20)</f>
        <v>68175</v>
      </c>
      <c r="E21" s="474">
        <f>SUM(E16:E19)</f>
        <v>35930</v>
      </c>
      <c r="F21" s="474">
        <f>D21-E21</f>
        <v>32245</v>
      </c>
      <c r="G21" s="403">
        <f t="shared" si="2"/>
        <v>0.52700000000000002</v>
      </c>
      <c r="H21" s="491">
        <f>G21</f>
        <v>0.52700000000000002</v>
      </c>
    </row>
    <row r="22" spans="2:16" x14ac:dyDescent="0.3">
      <c r="B22" s="429"/>
      <c r="C22" s="459"/>
      <c r="D22" s="431"/>
      <c r="E22" s="431"/>
      <c r="F22" s="431"/>
      <c r="G22" s="461"/>
    </row>
    <row r="23" spans="2:16" x14ac:dyDescent="0.3">
      <c r="B23" s="367" t="s">
        <v>907</v>
      </c>
      <c r="C23" s="365" t="s">
        <v>7</v>
      </c>
      <c r="D23" s="368">
        <f>[3]Hadleigh!$I$22</f>
        <v>49474</v>
      </c>
      <c r="E23" s="368">
        <f>[2]Hadleigh!$D22</f>
        <v>29974</v>
      </c>
      <c r="F23" s="368">
        <f t="shared" ref="F23:F26" si="5">D23-E23</f>
        <v>19500</v>
      </c>
      <c r="G23" s="366">
        <f t="shared" ref="G23:G25" si="6">ROUND((E23/D23),4)</f>
        <v>0.60589999999999999</v>
      </c>
      <c r="H23" s="462"/>
      <c r="N23" s="33" t="s">
        <v>1369</v>
      </c>
      <c r="O23" s="33" t="s">
        <v>1366</v>
      </c>
      <c r="P23" s="33" t="s">
        <v>1367</v>
      </c>
    </row>
    <row r="24" spans="2:16" x14ac:dyDescent="0.3">
      <c r="B24" s="367" t="s">
        <v>908</v>
      </c>
      <c r="C24" s="365" t="s">
        <v>103</v>
      </c>
      <c r="D24" s="368">
        <f>[3]Hadleigh!$I$23</f>
        <v>11338</v>
      </c>
      <c r="E24" s="368">
        <f>[2]Hadleigh!$D23</f>
        <v>8000</v>
      </c>
      <c r="F24" s="368">
        <f t="shared" si="5"/>
        <v>3338</v>
      </c>
      <c r="G24" s="366">
        <f t="shared" si="6"/>
        <v>0.7056</v>
      </c>
      <c r="H24" s="462"/>
      <c r="N24" s="33" t="s">
        <v>1369</v>
      </c>
      <c r="O24" s="33" t="s">
        <v>1366</v>
      </c>
      <c r="P24" s="33" t="s">
        <v>1367</v>
      </c>
    </row>
    <row r="25" spans="2:16" x14ac:dyDescent="0.3">
      <c r="B25" s="367" t="s">
        <v>909</v>
      </c>
      <c r="C25" s="365" t="s">
        <v>104</v>
      </c>
      <c r="D25" s="368">
        <f>[3]Hadleigh!$I$24</f>
        <v>8200</v>
      </c>
      <c r="E25" s="368">
        <f>[2]Hadleigh!$D24</f>
        <v>7200</v>
      </c>
      <c r="F25" s="368">
        <f t="shared" si="5"/>
        <v>1000</v>
      </c>
      <c r="G25" s="366">
        <f t="shared" si="6"/>
        <v>0.878</v>
      </c>
      <c r="H25" s="462"/>
      <c r="N25" s="33" t="s">
        <v>1365</v>
      </c>
      <c r="O25" s="33" t="s">
        <v>1366</v>
      </c>
      <c r="P25" s="33" t="s">
        <v>1368</v>
      </c>
    </row>
    <row r="26" spans="2:16" x14ac:dyDescent="0.3">
      <c r="B26" s="367"/>
      <c r="C26" s="365" t="s">
        <v>532</v>
      </c>
      <c r="D26" s="368"/>
      <c r="E26" s="368"/>
      <c r="F26" s="368">
        <f t="shared" si="5"/>
        <v>0</v>
      </c>
      <c r="G26" s="366"/>
      <c r="H26" s="462"/>
    </row>
    <row r="27" spans="2:16" s="32" customFormat="1" ht="14.5" thickBot="1" x14ac:dyDescent="0.35">
      <c r="B27" s="301" t="s">
        <v>1342</v>
      </c>
      <c r="C27" s="302" t="s">
        <v>116</v>
      </c>
      <c r="D27" s="363">
        <f>SUM(D23:D26)</f>
        <v>69012</v>
      </c>
      <c r="E27" s="363">
        <f>SUM(E23:E25)</f>
        <v>45174</v>
      </c>
      <c r="F27" s="363">
        <f>D27-E27</f>
        <v>23838</v>
      </c>
      <c r="G27" s="403">
        <f t="shared" si="2"/>
        <v>0.65459999999999996</v>
      </c>
      <c r="H27" s="491">
        <f>G27</f>
        <v>0.65459999999999996</v>
      </c>
    </row>
    <row r="28" spans="2:16" x14ac:dyDescent="0.3">
      <c r="B28" s="429"/>
      <c r="C28" s="459"/>
      <c r="D28" s="431"/>
      <c r="E28" s="431"/>
      <c r="F28" s="431"/>
      <c r="G28" s="461"/>
    </row>
    <row r="29" spans="2:16" x14ac:dyDescent="0.3">
      <c r="B29" s="367" t="s">
        <v>910</v>
      </c>
      <c r="C29" s="365" t="s">
        <v>105</v>
      </c>
      <c r="D29" s="368">
        <f>[3]Hadleigh!$I$28</f>
        <v>0</v>
      </c>
      <c r="E29" s="368">
        <f>[2]Hadleigh!$D27</f>
        <v>11731</v>
      </c>
      <c r="F29" s="368">
        <f t="shared" ref="F29:F32" si="7">D29-E29</f>
        <v>-11731</v>
      </c>
      <c r="G29" s="366"/>
      <c r="N29" s="33" t="s">
        <v>1365</v>
      </c>
      <c r="O29" s="33" t="s">
        <v>1366</v>
      </c>
    </row>
    <row r="30" spans="2:16" x14ac:dyDescent="0.3">
      <c r="B30" s="367" t="s">
        <v>911</v>
      </c>
      <c r="C30" s="365" t="s">
        <v>106</v>
      </c>
      <c r="D30" s="368">
        <f>[3]Hadleigh!$I$29</f>
        <v>0</v>
      </c>
      <c r="E30" s="368">
        <f>[2]Hadleigh!$D28</f>
        <v>3750</v>
      </c>
      <c r="F30" s="368">
        <f t="shared" si="7"/>
        <v>-3750</v>
      </c>
      <c r="G30" s="366"/>
      <c r="N30" s="33" t="s">
        <v>1365</v>
      </c>
      <c r="O30" s="33" t="s">
        <v>1366</v>
      </c>
    </row>
    <row r="31" spans="2:16" x14ac:dyDescent="0.3">
      <c r="B31" s="367" t="s">
        <v>912</v>
      </c>
      <c r="C31" s="365" t="s">
        <v>107</v>
      </c>
      <c r="D31" s="368">
        <f>[3]Hadleigh!$I$30</f>
        <v>0</v>
      </c>
      <c r="E31" s="368">
        <f>[2]Hadleigh!$D29</f>
        <v>4890</v>
      </c>
      <c r="F31" s="368">
        <f t="shared" si="7"/>
        <v>-4890</v>
      </c>
      <c r="G31" s="366"/>
      <c r="N31" s="33" t="s">
        <v>1365</v>
      </c>
      <c r="O31" s="33" t="s">
        <v>1366</v>
      </c>
    </row>
    <row r="32" spans="2:16" x14ac:dyDescent="0.3">
      <c r="B32" s="373" t="s">
        <v>913</v>
      </c>
      <c r="C32" s="384" t="s">
        <v>108</v>
      </c>
      <c r="D32" s="369">
        <f>[3]Hadleigh!$I$31</f>
        <v>0</v>
      </c>
      <c r="E32" s="368">
        <f>[2]Hadleigh!$D30</f>
        <v>4888</v>
      </c>
      <c r="F32" s="368">
        <f t="shared" si="7"/>
        <v>-4888</v>
      </c>
      <c r="G32" s="385"/>
      <c r="N32" s="33" t="s">
        <v>1369</v>
      </c>
      <c r="O32" s="33" t="s">
        <v>1366</v>
      </c>
      <c r="P32" s="33" t="s">
        <v>1367</v>
      </c>
    </row>
    <row r="33" spans="2:16" s="490" customFormat="1" ht="28.5" thickBot="1" x14ac:dyDescent="0.35">
      <c r="B33" s="436" t="s">
        <v>914</v>
      </c>
      <c r="C33" s="492" t="s">
        <v>115</v>
      </c>
      <c r="D33" s="440">
        <f>[3]Hadleigh!$I$32</f>
        <v>39103</v>
      </c>
      <c r="E33" s="363">
        <f>SUM(E29:E32)</f>
        <v>25259</v>
      </c>
      <c r="F33" s="363">
        <f>D33-E33</f>
        <v>13844</v>
      </c>
      <c r="G33" s="441">
        <f>ROUND((E33/D33),4)</f>
        <v>0.64600000000000002</v>
      </c>
      <c r="H33" s="491">
        <f>G33</f>
        <v>0.64600000000000002</v>
      </c>
    </row>
    <row r="34" spans="2:16" x14ac:dyDescent="0.3">
      <c r="B34" s="429"/>
      <c r="C34" s="459"/>
      <c r="D34" s="431"/>
      <c r="E34" s="431"/>
      <c r="F34" s="431"/>
      <c r="G34" s="461"/>
    </row>
    <row r="35" spans="2:16" x14ac:dyDescent="0.3">
      <c r="B35" s="367" t="s">
        <v>915</v>
      </c>
      <c r="C35" s="365" t="s">
        <v>109</v>
      </c>
      <c r="D35" s="368">
        <f>[3]Hadleigh!$I$34</f>
        <v>12000</v>
      </c>
      <c r="E35" s="368">
        <f>[2]Hadleigh!$D33</f>
        <v>8000</v>
      </c>
      <c r="F35" s="368">
        <f t="shared" ref="F35:F39" si="8">D35-E35</f>
        <v>4000</v>
      </c>
      <c r="G35" s="366">
        <f t="shared" ref="G35:G39" si="9">ROUND((E35/D35),4)</f>
        <v>0.66669999999999996</v>
      </c>
      <c r="H35" s="462"/>
      <c r="N35" s="33" t="s">
        <v>1369</v>
      </c>
      <c r="O35" s="33" t="s">
        <v>1370</v>
      </c>
      <c r="P35" s="33" t="s">
        <v>1367</v>
      </c>
    </row>
    <row r="36" spans="2:16" x14ac:dyDescent="0.3">
      <c r="B36" s="367" t="s">
        <v>916</v>
      </c>
      <c r="C36" s="365" t="s">
        <v>110</v>
      </c>
      <c r="D36" s="368">
        <f>[3]Hadleigh!$I$35</f>
        <v>20000</v>
      </c>
      <c r="E36" s="368">
        <f>[2]Hadleigh!$D34</f>
        <v>5000</v>
      </c>
      <c r="F36" s="368">
        <f t="shared" si="8"/>
        <v>15000</v>
      </c>
      <c r="G36" s="366">
        <f t="shared" si="9"/>
        <v>0.25</v>
      </c>
      <c r="H36" s="462"/>
      <c r="N36" s="33" t="s">
        <v>1365</v>
      </c>
      <c r="O36" s="33" t="s">
        <v>1366</v>
      </c>
    </row>
    <row r="37" spans="2:16" x14ac:dyDescent="0.3">
      <c r="B37" s="367" t="s">
        <v>917</v>
      </c>
      <c r="C37" s="365" t="s">
        <v>111</v>
      </c>
      <c r="D37" s="368">
        <f>[3]Hadleigh!$I$36</f>
        <v>12300</v>
      </c>
      <c r="E37" s="368">
        <f>[2]Hadleigh!$D35</f>
        <v>8200</v>
      </c>
      <c r="F37" s="368">
        <f t="shared" si="8"/>
        <v>4100</v>
      </c>
      <c r="G37" s="366">
        <f t="shared" si="9"/>
        <v>0.66669999999999996</v>
      </c>
      <c r="H37" s="462"/>
      <c r="N37" s="33" t="s">
        <v>1365</v>
      </c>
      <c r="O37" s="33" t="s">
        <v>1366</v>
      </c>
    </row>
    <row r="38" spans="2:16" x14ac:dyDescent="0.3">
      <c r="B38" s="367" t="s">
        <v>918</v>
      </c>
      <c r="C38" s="365" t="s">
        <v>112</v>
      </c>
      <c r="D38" s="368">
        <f>[3]Hadleigh!$I$37</f>
        <v>20000</v>
      </c>
      <c r="E38" s="368">
        <f>[2]Hadleigh!$D36</f>
        <v>13505</v>
      </c>
      <c r="F38" s="368">
        <f t="shared" si="8"/>
        <v>6495</v>
      </c>
      <c r="G38" s="366">
        <f t="shared" si="9"/>
        <v>0.67530000000000001</v>
      </c>
      <c r="H38" s="462"/>
      <c r="N38" s="33" t="s">
        <v>1365</v>
      </c>
      <c r="O38" s="33" t="s">
        <v>1366</v>
      </c>
    </row>
    <row r="39" spans="2:16" x14ac:dyDescent="0.3">
      <c r="B39" s="367" t="s">
        <v>919</v>
      </c>
      <c r="C39" s="365" t="s">
        <v>113</v>
      </c>
      <c r="D39" s="368">
        <f>[3]Hadleigh!$I$38</f>
        <v>8054</v>
      </c>
      <c r="E39" s="368">
        <f>[2]Hadleigh!$D37</f>
        <v>5800</v>
      </c>
      <c r="F39" s="368">
        <f t="shared" si="8"/>
        <v>2254</v>
      </c>
      <c r="G39" s="366">
        <f t="shared" si="9"/>
        <v>0.72009999999999996</v>
      </c>
      <c r="H39" s="462"/>
      <c r="N39" s="33" t="s">
        <v>1369</v>
      </c>
      <c r="O39" s="33" t="s">
        <v>1370</v>
      </c>
      <c r="P39" s="33" t="s">
        <v>1367</v>
      </c>
    </row>
    <row r="40" spans="2:16" s="494" customFormat="1" ht="28.5" thickBot="1" x14ac:dyDescent="0.35">
      <c r="B40" s="472" t="s">
        <v>920</v>
      </c>
      <c r="C40" s="473" t="s">
        <v>114</v>
      </c>
      <c r="D40" s="474">
        <f>SUM(D35:D39)</f>
        <v>72354</v>
      </c>
      <c r="E40" s="474">
        <f>SUM(E35:E39)</f>
        <v>40505</v>
      </c>
      <c r="F40" s="474">
        <f t="shared" ref="F40" si="10">D40-E40</f>
        <v>31849</v>
      </c>
      <c r="G40" s="403">
        <f t="shared" si="2"/>
        <v>0.55979999999999996</v>
      </c>
      <c r="H40" s="493">
        <f t="shared" ref="H40" si="11">G40</f>
        <v>0.55979999999999996</v>
      </c>
    </row>
    <row r="41" spans="2:16" s="494" customFormat="1" x14ac:dyDescent="0.3">
      <c r="B41" s="495"/>
      <c r="C41" s="496"/>
      <c r="D41" s="497"/>
      <c r="E41" s="498"/>
      <c r="F41" s="498"/>
      <c r="G41" s="499"/>
      <c r="H41" s="462"/>
    </row>
    <row r="42" spans="2:16" s="494" customFormat="1" x14ac:dyDescent="0.3">
      <c r="B42" s="495"/>
      <c r="C42" s="496"/>
      <c r="D42" s="440"/>
      <c r="E42" s="498"/>
      <c r="F42" s="497"/>
      <c r="G42" s="499"/>
      <c r="H42" s="462"/>
    </row>
    <row r="43" spans="2:16" s="494" customFormat="1" x14ac:dyDescent="0.3">
      <c r="B43" s="495"/>
      <c r="C43" s="496"/>
      <c r="D43" s="497"/>
      <c r="E43" s="498"/>
      <c r="F43" s="498"/>
      <c r="G43" s="499"/>
      <c r="H43" s="462"/>
    </row>
    <row r="44" spans="2:16" s="494" customFormat="1" x14ac:dyDescent="0.3">
      <c r="B44" s="495"/>
      <c r="C44" s="365" t="s">
        <v>606</v>
      </c>
      <c r="D44" s="497"/>
      <c r="E44" s="498"/>
      <c r="F44" s="498"/>
      <c r="G44" s="499"/>
      <c r="H44" s="462"/>
    </row>
    <row r="45" spans="2:16" x14ac:dyDescent="0.3">
      <c r="B45" s="367"/>
      <c r="C45" s="365"/>
      <c r="D45" s="368"/>
      <c r="E45" s="368"/>
      <c r="F45" s="368"/>
      <c r="G45" s="456"/>
    </row>
    <row r="46" spans="2:16" s="32" customFormat="1" ht="14.5" thickBot="1" x14ac:dyDescent="0.35">
      <c r="B46" s="472"/>
      <c r="C46" s="302" t="s">
        <v>57</v>
      </c>
      <c r="D46" s="363">
        <f>SUM(D40,D33,D27,D21,D14,D42)</f>
        <v>295226</v>
      </c>
      <c r="E46" s="363">
        <f>SUM(E40,E33,E27,E21,E14)</f>
        <v>178545</v>
      </c>
      <c r="F46" s="363">
        <f>D46-E46</f>
        <v>116681</v>
      </c>
      <c r="G46" s="457">
        <f t="shared" si="2"/>
        <v>0.6048</v>
      </c>
    </row>
    <row r="47" spans="2:16" x14ac:dyDescent="0.3">
      <c r="B47" s="367"/>
      <c r="C47" s="365"/>
      <c r="D47" s="368"/>
      <c r="E47" s="368"/>
      <c r="F47" s="368"/>
      <c r="G47" s="366"/>
    </row>
    <row r="48" spans="2:16" ht="14.5" thickBot="1" x14ac:dyDescent="0.35">
      <c r="B48" s="472"/>
      <c r="C48" s="302" t="s">
        <v>1657</v>
      </c>
      <c r="D48" s="363">
        <f>[5]Summary!$D$9</f>
        <v>292922</v>
      </c>
      <c r="E48" s="363">
        <f>[6]Hadleigh!$D$45</f>
        <v>158977</v>
      </c>
      <c r="F48" s="363">
        <f>D48-E48</f>
        <v>133945</v>
      </c>
      <c r="G48" s="457">
        <f>E48/D48</f>
        <v>0.54272809826506718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27</vt:i4>
      </vt:variant>
    </vt:vector>
  </HeadingPairs>
  <TitlesOfParts>
    <vt:vector size="49" baseType="lpstr">
      <vt:lpstr>Summary</vt:lpstr>
      <vt:lpstr>Xledger Data</vt:lpstr>
      <vt:lpstr>Overview</vt:lpstr>
      <vt:lpstr>Historic Monthly Totals</vt:lpstr>
      <vt:lpstr>Data</vt:lpstr>
      <vt:lpstr>Waivers 2021</vt:lpstr>
      <vt:lpstr>Clare</vt:lpstr>
      <vt:lpstr>Gipping Valley</vt:lpstr>
      <vt:lpstr>Hadleigh</vt:lpstr>
      <vt:lpstr>Ixworth</vt:lpstr>
      <vt:lpstr>Lavenham</vt:lpstr>
      <vt:lpstr>Mildenhall</vt:lpstr>
      <vt:lpstr>Sudbury</vt:lpstr>
      <vt:lpstr>Thingoe</vt:lpstr>
      <vt:lpstr>Ipswich</vt:lpstr>
      <vt:lpstr>Colneys</vt:lpstr>
      <vt:lpstr>Hartismere &amp; Hoxne</vt:lpstr>
      <vt:lpstr>Loes</vt:lpstr>
      <vt:lpstr>Samford</vt:lpstr>
      <vt:lpstr>Saxmundham</vt:lpstr>
      <vt:lpstr>Waveney &amp; Blyth</vt:lpstr>
      <vt:lpstr>Woodbridge</vt:lpstr>
      <vt:lpstr>Month1</vt:lpstr>
      <vt:lpstr>Month2</vt:lpstr>
      <vt:lpstr>Month3</vt:lpstr>
      <vt:lpstr>Clare!PayingEntity</vt:lpstr>
      <vt:lpstr>Period</vt:lpstr>
      <vt:lpstr>PeriodNo</vt:lpstr>
      <vt:lpstr>Clare!Print_Area</vt:lpstr>
      <vt:lpstr>Colneys!Print_Area</vt:lpstr>
      <vt:lpstr>'Gipping Valley'!Print_Area</vt:lpstr>
      <vt:lpstr>Hadleigh!Print_Area</vt:lpstr>
      <vt:lpstr>'Hartismere &amp; Hoxne'!Print_Area</vt:lpstr>
      <vt:lpstr>Ipswich!Print_Area</vt:lpstr>
      <vt:lpstr>Ixworth!Print_Area</vt:lpstr>
      <vt:lpstr>Lavenham!Print_Area</vt:lpstr>
      <vt:lpstr>Loes!Print_Area</vt:lpstr>
      <vt:lpstr>Mildenhall!Print_Area</vt:lpstr>
      <vt:lpstr>Overview!Print_Area</vt:lpstr>
      <vt:lpstr>Samford!Print_Area</vt:lpstr>
      <vt:lpstr>Saxmundham!Print_Area</vt:lpstr>
      <vt:lpstr>Sudbury!Print_Area</vt:lpstr>
      <vt:lpstr>Summary!Print_Area</vt:lpstr>
      <vt:lpstr>Thingoe!Print_Area</vt:lpstr>
      <vt:lpstr>'Waveney &amp; Blyth'!Print_Area</vt:lpstr>
      <vt:lpstr>Woodbridge!Print_Area</vt:lpstr>
      <vt:lpstr>'Waveney &amp; Blyth'!Print_Titles</vt:lpstr>
      <vt:lpstr>Target</vt:lpstr>
      <vt:lpstr>Xledger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Alice</dc:creator>
  <cp:lastModifiedBy>Philip Keeble</cp:lastModifiedBy>
  <cp:lastPrinted>2022-07-04T10:32:32Z</cp:lastPrinted>
  <dcterms:created xsi:type="dcterms:W3CDTF">2017-02-06T14:12:08Z</dcterms:created>
  <dcterms:modified xsi:type="dcterms:W3CDTF">2022-09-02T08:18:19Z</dcterms:modified>
</cp:coreProperties>
</file>