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P:\Accounts General\Parish Share\2020\Reports\"/>
    </mc:Choice>
  </mc:AlternateContent>
  <xr:revisionPtr revIDLastSave="0" documentId="13_ncr:1_{44CB0D51-E9FF-4B8A-BF5F-76D0BA20ABFB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Summary" sheetId="1" r:id="rId1"/>
    <sheet name="Xledger Data" sheetId="27" state="hidden" r:id="rId2"/>
    <sheet name="Overview" sheetId="25" state="hidden" r:id="rId3"/>
    <sheet name="Bosmere " sheetId="28" r:id="rId4"/>
    <sheet name="Historic Monthly Totals" sheetId="26" state="hidden" r:id="rId5"/>
    <sheet name="Data" sheetId="30" state="hidden" r:id="rId6"/>
    <sheet name="Clare" sheetId="7" r:id="rId7"/>
    <sheet name="Hadleigh" sheetId="8" r:id="rId8"/>
    <sheet name="Ixworth" sheetId="9" r:id="rId9"/>
    <sheet name="Lavenham" sheetId="10" r:id="rId10"/>
    <sheet name="Mildenhall" sheetId="11" r:id="rId11"/>
    <sheet name="Stowmarket" sheetId="12" r:id="rId12"/>
    <sheet name="Sudbury" sheetId="13" r:id="rId13"/>
    <sheet name="Thingoe" sheetId="14" r:id="rId14"/>
    <sheet name="Colneys" sheetId="15" r:id="rId15"/>
    <sheet name="Hartismere" sheetId="16" r:id="rId16"/>
    <sheet name="Hoxne" sheetId="17" r:id="rId17"/>
    <sheet name="Loes" sheetId="19" r:id="rId18"/>
    <sheet name="Ipswich" sheetId="18" r:id="rId19"/>
    <sheet name="Samford" sheetId="20" r:id="rId20"/>
    <sheet name="Saxmundham" sheetId="21" r:id="rId21"/>
    <sheet name="Waveney &amp; Blyth" sheetId="22" r:id="rId22"/>
    <sheet name="Woodbridge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Month1" localSheetId="3">[1]Summary!$M$3</definedName>
    <definedName name="Month1">Summary!$L$3</definedName>
    <definedName name="Month2" localSheetId="3">[1]Summary!$M$4</definedName>
    <definedName name="Month2">Summary!$L$4</definedName>
    <definedName name="Month3" localSheetId="3">[1]Summary!$M$5</definedName>
    <definedName name="Month3">Summary!$L$5</definedName>
    <definedName name="PayingEntity" localSheetId="6">Clare!$G$13:$G$20,Clare!$G$11,Clare!$G$24:$G$30,Clare!$G$34:$G$39,Clare!$G$41:$G$45</definedName>
    <definedName name="Period" localSheetId="3">[1]Summary!$C$3</definedName>
    <definedName name="Period">Summary!$C$3</definedName>
    <definedName name="PeriodNo">Summary!$I$2</definedName>
    <definedName name="_xlnm.Print_Area" localSheetId="3">'Bosmere '!$C$2:$G$49</definedName>
    <definedName name="_xlnm.Print_Area" localSheetId="6">Clare!$C$2:$G$53</definedName>
    <definedName name="_xlnm.Print_Area" localSheetId="14">Colneys!$C$2:$G$39</definedName>
    <definedName name="_xlnm.Print_Area" localSheetId="7">Hadleigh!$C$2:$G$46</definedName>
    <definedName name="_xlnm.Print_Area" localSheetId="15">Hartismere!$C$2:$G$35</definedName>
    <definedName name="_xlnm.Print_Area" localSheetId="16">Hoxne!$C$2:$G$39</definedName>
    <definedName name="_xlnm.Print_Area" localSheetId="18">Ipswich!$C$2:$G$56</definedName>
    <definedName name="_xlnm.Print_Area" localSheetId="8">Ixworth!$C$2:$G$47</definedName>
    <definedName name="_xlnm.Print_Area" localSheetId="9">Lavenham!$C$2:$G$56</definedName>
    <definedName name="_xlnm.Print_Area" localSheetId="17">Loes!$C$2:$G$59</definedName>
    <definedName name="_xlnm.Print_Area" localSheetId="10">Mildenhall!$C$2:$G$49</definedName>
    <definedName name="_xlnm.Print_Area" localSheetId="2">Overview!$A$1:$N$25</definedName>
    <definedName name="_xlnm.Print_Area" localSheetId="19">Samford!$C$2:$G$39</definedName>
    <definedName name="_xlnm.Print_Area" localSheetId="20">Saxmundham!$C$2:$G$45</definedName>
    <definedName name="_xlnm.Print_Area" localSheetId="11">Stowmarket!$C$2:$G$42</definedName>
    <definedName name="_xlnm.Print_Area" localSheetId="12">Sudbury!$C$2:$G$52</definedName>
    <definedName name="_xlnm.Print_Area" localSheetId="0">Summary!$A$1:$K$41</definedName>
    <definedName name="_xlnm.Print_Area" localSheetId="13">Thingoe!$C$2:$G$49</definedName>
    <definedName name="_xlnm.Print_Area" localSheetId="21">'Waveney &amp; Blyth'!$C$2:$G$82</definedName>
    <definedName name="_xlnm.Print_Area" localSheetId="22">Woodbridge!$C$2:$G$53</definedName>
    <definedName name="_xlnm.Print_Titles" localSheetId="21">'Waveney &amp; Blyth'!$2:$6</definedName>
    <definedName name="Target" localSheetId="3">[1]Summary!$M$2</definedName>
    <definedName name="Target">Summary!$L$2</definedName>
    <definedName name="Xledger" localSheetId="3">'[1]Xledger Data'!$A$2:$C$358</definedName>
    <definedName name="Xledger">'Xledger Data'!$A$2:$C$441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5" l="1"/>
  <c r="E12" i="15"/>
  <c r="G12" i="15" s="1"/>
  <c r="F12" i="15" l="1"/>
  <c r="E33" i="21"/>
  <c r="E34" i="21"/>
  <c r="E35" i="21"/>
  <c r="E36" i="21"/>
  <c r="E37" i="21"/>
  <c r="E38" i="21"/>
  <c r="E32" i="21"/>
  <c r="E29" i="21"/>
  <c r="E28" i="21"/>
  <c r="E24" i="21"/>
  <c r="E19" i="21"/>
  <c r="E20" i="21"/>
  <c r="E21" i="21"/>
  <c r="E18" i="21"/>
  <c r="E9" i="21"/>
  <c r="E10" i="21"/>
  <c r="E11" i="21"/>
  <c r="E12" i="21"/>
  <c r="E13" i="21"/>
  <c r="E14" i="21"/>
  <c r="E15" i="21"/>
  <c r="E8" i="21"/>
  <c r="E39" i="1" l="1"/>
  <c r="E47" i="23"/>
  <c r="E44" i="23"/>
  <c r="E4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23" i="23"/>
  <c r="E18" i="23"/>
  <c r="E19" i="23"/>
  <c r="E20" i="23"/>
  <c r="E17" i="23"/>
  <c r="E16" i="23"/>
  <c r="E13" i="23"/>
  <c r="E14" i="23"/>
  <c r="E15" i="23"/>
  <c r="E12" i="23"/>
  <c r="E9" i="23"/>
  <c r="E8" i="23"/>
  <c r="E75" i="22"/>
  <c r="E74" i="22"/>
  <c r="E69" i="22"/>
  <c r="E70" i="22"/>
  <c r="E71" i="22"/>
  <c r="E68" i="22"/>
  <c r="E59" i="22"/>
  <c r="E60" i="22"/>
  <c r="E61" i="22"/>
  <c r="E62" i="22"/>
  <c r="E63" i="22"/>
  <c r="E64" i="22"/>
  <c r="E65" i="22"/>
  <c r="E58" i="22"/>
  <c r="E46" i="22"/>
  <c r="E47" i="22"/>
  <c r="E48" i="22"/>
  <c r="E49" i="22"/>
  <c r="E50" i="22"/>
  <c r="E51" i="22"/>
  <c r="E52" i="22"/>
  <c r="E53" i="22"/>
  <c r="E54" i="22"/>
  <c r="E55" i="22"/>
  <c r="E45" i="22"/>
  <c r="E34" i="22"/>
  <c r="E35" i="22"/>
  <c r="E36" i="22"/>
  <c r="E37" i="22"/>
  <c r="E38" i="22"/>
  <c r="E39" i="22"/>
  <c r="E40" i="22"/>
  <c r="E41" i="22"/>
  <c r="E33" i="22"/>
  <c r="E29" i="22"/>
  <c r="E30" i="22"/>
  <c r="E28" i="22"/>
  <c r="E24" i="22"/>
  <c r="E25" i="22"/>
  <c r="E23" i="22"/>
  <c r="E12" i="22"/>
  <c r="E13" i="22"/>
  <c r="E14" i="22"/>
  <c r="E15" i="22"/>
  <c r="E16" i="22"/>
  <c r="E17" i="22"/>
  <c r="E18" i="22"/>
  <c r="E19" i="22"/>
  <c r="E20" i="22"/>
  <c r="E11" i="22"/>
  <c r="E8" i="22"/>
  <c r="E31" i="20"/>
  <c r="E32" i="20"/>
  <c r="E33" i="20"/>
  <c r="E34" i="20"/>
  <c r="E30" i="20"/>
  <c r="E25" i="20"/>
  <c r="E26" i="20"/>
  <c r="E27" i="20"/>
  <c r="E24" i="20"/>
  <c r="E17" i="20"/>
  <c r="E18" i="20"/>
  <c r="E19" i="20"/>
  <c r="E20" i="20"/>
  <c r="E21" i="20"/>
  <c r="E16" i="20"/>
  <c r="E13" i="20"/>
  <c r="E12" i="20"/>
  <c r="E9" i="20"/>
  <c r="E8" i="20"/>
  <c r="E46" i="18"/>
  <c r="E43" i="18"/>
  <c r="E39" i="18"/>
  <c r="E37" i="18"/>
  <c r="E33" i="18"/>
  <c r="E28" i="18"/>
  <c r="E29" i="18"/>
  <c r="E27" i="18"/>
  <c r="E25" i="18"/>
  <c r="E23" i="18"/>
  <c r="E21" i="18"/>
  <c r="E17" i="18"/>
  <c r="E18" i="18"/>
  <c r="E16" i="18"/>
  <c r="E14" i="18"/>
  <c r="E12" i="18"/>
  <c r="E10" i="18"/>
  <c r="E8" i="18"/>
  <c r="E52" i="19"/>
  <c r="E51" i="19"/>
  <c r="E44" i="19"/>
  <c r="E45" i="19"/>
  <c r="E46" i="19"/>
  <c r="E47" i="19"/>
  <c r="E48" i="19"/>
  <c r="E43" i="19"/>
  <c r="E33" i="19"/>
  <c r="E34" i="19"/>
  <c r="E35" i="19"/>
  <c r="E36" i="19"/>
  <c r="E37" i="19"/>
  <c r="E38" i="19"/>
  <c r="E39" i="19"/>
  <c r="E40" i="19"/>
  <c r="E32" i="19"/>
  <c r="E24" i="19"/>
  <c r="E25" i="19"/>
  <c r="E26" i="19"/>
  <c r="E27" i="19"/>
  <c r="E28" i="19"/>
  <c r="E29" i="19"/>
  <c r="E23" i="19"/>
  <c r="E20" i="19"/>
  <c r="E19" i="19"/>
  <c r="E18" i="19"/>
  <c r="E17" i="19"/>
  <c r="E16" i="19"/>
  <c r="E15" i="19"/>
  <c r="E14" i="19"/>
  <c r="E13" i="19"/>
  <c r="E12" i="19"/>
  <c r="E9" i="19"/>
  <c r="E8" i="19"/>
  <c r="E29" i="17"/>
  <c r="E30" i="17"/>
  <c r="E31" i="17"/>
  <c r="E32" i="17"/>
  <c r="E33" i="17"/>
  <c r="E28" i="17"/>
  <c r="E19" i="17"/>
  <c r="E20" i="17"/>
  <c r="E21" i="17"/>
  <c r="E22" i="17"/>
  <c r="E23" i="17"/>
  <c r="E24" i="17"/>
  <c r="E25" i="17"/>
  <c r="E18" i="17"/>
  <c r="E9" i="17"/>
  <c r="E10" i="17"/>
  <c r="E11" i="17"/>
  <c r="E12" i="17"/>
  <c r="E13" i="17"/>
  <c r="E14" i="17"/>
  <c r="E15" i="17"/>
  <c r="E8" i="17"/>
  <c r="E24" i="16"/>
  <c r="E25" i="16"/>
  <c r="E26" i="16"/>
  <c r="E27" i="16"/>
  <c r="E28" i="16"/>
  <c r="E29" i="16"/>
  <c r="E30" i="16"/>
  <c r="E23" i="16"/>
  <c r="E21" i="16"/>
  <c r="E14" i="16"/>
  <c r="E15" i="16"/>
  <c r="E16" i="16"/>
  <c r="E17" i="16"/>
  <c r="E18" i="16"/>
  <c r="E13" i="16"/>
  <c r="E9" i="16"/>
  <c r="E10" i="16"/>
  <c r="E8" i="16"/>
  <c r="E28" i="15"/>
  <c r="E29" i="15"/>
  <c r="E30" i="15"/>
  <c r="E31" i="15"/>
  <c r="E32" i="15"/>
  <c r="E33" i="15"/>
  <c r="E34" i="15"/>
  <c r="E27" i="15"/>
  <c r="E24" i="15"/>
  <c r="E23" i="15"/>
  <c r="E21" i="15"/>
  <c r="E18" i="15"/>
  <c r="E17" i="15"/>
  <c r="E15" i="15"/>
  <c r="E10" i="15"/>
  <c r="E8" i="15"/>
  <c r="E39" i="14"/>
  <c r="E38" i="14"/>
  <c r="E37" i="14"/>
  <c r="E36" i="14"/>
  <c r="E35" i="14"/>
  <c r="E34" i="14"/>
  <c r="E33" i="14"/>
  <c r="E32" i="14"/>
  <c r="E31" i="14"/>
  <c r="E30" i="14"/>
  <c r="E29" i="14"/>
  <c r="E26" i="14"/>
  <c r="E25" i="14"/>
  <c r="E24" i="14"/>
  <c r="E23" i="14"/>
  <c r="E22" i="14"/>
  <c r="E17" i="14"/>
  <c r="E18" i="14"/>
  <c r="E19" i="14"/>
  <c r="E16" i="14"/>
  <c r="E13" i="14"/>
  <c r="E12" i="14"/>
  <c r="E10" i="14"/>
  <c r="E8" i="14"/>
  <c r="E44" i="13"/>
  <c r="E43" i="13"/>
  <c r="E41" i="13"/>
  <c r="E37" i="13"/>
  <c r="E33" i="13"/>
  <c r="E27" i="13"/>
  <c r="E28" i="13"/>
  <c r="E29" i="13"/>
  <c r="E26" i="13"/>
  <c r="E22" i="13"/>
  <c r="E23" i="13"/>
  <c r="E21" i="13"/>
  <c r="E14" i="13"/>
  <c r="E15" i="13"/>
  <c r="E16" i="13"/>
  <c r="E17" i="13"/>
  <c r="E18" i="13"/>
  <c r="E13" i="13"/>
  <c r="E9" i="13"/>
  <c r="E8" i="13"/>
  <c r="E34" i="12"/>
  <c r="E30" i="12"/>
  <c r="E26" i="12"/>
  <c r="E27" i="12"/>
  <c r="E25" i="12"/>
  <c r="E17" i="12"/>
  <c r="E18" i="12"/>
  <c r="E19" i="12"/>
  <c r="E20" i="12"/>
  <c r="E21" i="12"/>
  <c r="E22" i="12"/>
  <c r="E16" i="12"/>
  <c r="E9" i="12"/>
  <c r="E10" i="12"/>
  <c r="E11" i="12"/>
  <c r="E12" i="12"/>
  <c r="E13" i="12"/>
  <c r="E8" i="12"/>
  <c r="E40" i="11"/>
  <c r="E39" i="11"/>
  <c r="E38" i="11"/>
  <c r="E36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18" i="11"/>
  <c r="E13" i="11"/>
  <c r="E14" i="11"/>
  <c r="E15" i="11"/>
  <c r="E12" i="11"/>
  <c r="E8" i="11"/>
  <c r="E49" i="10"/>
  <c r="E48" i="10"/>
  <c r="E39" i="10"/>
  <c r="E40" i="10"/>
  <c r="E41" i="10"/>
  <c r="E42" i="10"/>
  <c r="E43" i="10"/>
  <c r="E44" i="10"/>
  <c r="E45" i="10"/>
  <c r="E38" i="10"/>
  <c r="E35" i="10"/>
  <c r="E34" i="10"/>
  <c r="E29" i="10"/>
  <c r="E30" i="10"/>
  <c r="E31" i="10"/>
  <c r="E28" i="10"/>
  <c r="E22" i="10"/>
  <c r="E23" i="10"/>
  <c r="E24" i="10"/>
  <c r="E25" i="10"/>
  <c r="E21" i="10"/>
  <c r="E18" i="10"/>
  <c r="E17" i="10"/>
  <c r="E15" i="10"/>
  <c r="E9" i="10"/>
  <c r="E10" i="10"/>
  <c r="E11" i="10"/>
  <c r="E12" i="10"/>
  <c r="E8" i="10"/>
  <c r="E36" i="9"/>
  <c r="E37" i="9"/>
  <c r="E38" i="9"/>
  <c r="E39" i="9"/>
  <c r="E40" i="9"/>
  <c r="E41" i="9"/>
  <c r="E42" i="9"/>
  <c r="E35" i="9"/>
  <c r="E28" i="9"/>
  <c r="E29" i="9"/>
  <c r="E30" i="9"/>
  <c r="E31" i="9"/>
  <c r="E32" i="9"/>
  <c r="E27" i="9"/>
  <c r="E18" i="9"/>
  <c r="E19" i="9"/>
  <c r="E20" i="9"/>
  <c r="E21" i="9"/>
  <c r="E22" i="9"/>
  <c r="E23" i="9"/>
  <c r="E24" i="9"/>
  <c r="E17" i="9"/>
  <c r="E9" i="9"/>
  <c r="E10" i="9"/>
  <c r="E11" i="9"/>
  <c r="E12" i="9"/>
  <c r="E13" i="9"/>
  <c r="E14" i="9"/>
  <c r="E8" i="9"/>
  <c r="E34" i="8"/>
  <c r="E35" i="8"/>
  <c r="E36" i="8"/>
  <c r="E37" i="8"/>
  <c r="E33" i="8"/>
  <c r="E28" i="8"/>
  <c r="E29" i="8"/>
  <c r="E30" i="8"/>
  <c r="E27" i="8"/>
  <c r="E24" i="8"/>
  <c r="E23" i="8"/>
  <c r="E22" i="8"/>
  <c r="E18" i="8"/>
  <c r="E19" i="8"/>
  <c r="E17" i="8"/>
  <c r="E16" i="8"/>
  <c r="E9" i="8"/>
  <c r="E10" i="8"/>
  <c r="E11" i="8"/>
  <c r="E12" i="8"/>
  <c r="E13" i="8"/>
  <c r="E8" i="8"/>
  <c r="F53" i="7"/>
  <c r="E42" i="7"/>
  <c r="E43" i="7"/>
  <c r="E44" i="7"/>
  <c r="E45" i="7"/>
  <c r="E41" i="7"/>
  <c r="E35" i="7"/>
  <c r="E36" i="7"/>
  <c r="E37" i="7"/>
  <c r="E38" i="7"/>
  <c r="E39" i="7"/>
  <c r="E34" i="7"/>
  <c r="E25" i="7"/>
  <c r="E26" i="7"/>
  <c r="E27" i="7"/>
  <c r="E28" i="7"/>
  <c r="E29" i="7"/>
  <c r="E30" i="7"/>
  <c r="E24" i="7"/>
  <c r="E14" i="7"/>
  <c r="E15" i="7"/>
  <c r="E16" i="7"/>
  <c r="E17" i="7"/>
  <c r="E18" i="7"/>
  <c r="E19" i="7"/>
  <c r="E20" i="7"/>
  <c r="E21" i="7"/>
  <c r="E13" i="7"/>
  <c r="E9" i="7"/>
  <c r="E8" i="7"/>
  <c r="F49" i="28"/>
  <c r="E34" i="28"/>
  <c r="E35" i="28"/>
  <c r="E36" i="28"/>
  <c r="E37" i="28"/>
  <c r="E38" i="28"/>
  <c r="E39" i="28"/>
  <c r="E40" i="28"/>
  <c r="E33" i="28"/>
  <c r="E31" i="28"/>
  <c r="E22" i="28"/>
  <c r="E23" i="28"/>
  <c r="E24" i="28"/>
  <c r="E25" i="28"/>
  <c r="E26" i="28"/>
  <c r="E27" i="28"/>
  <c r="E28" i="28"/>
  <c r="E21" i="28"/>
  <c r="E17" i="28"/>
  <c r="E18" i="28"/>
  <c r="E16" i="28"/>
  <c r="E9" i="28"/>
  <c r="E10" i="28"/>
  <c r="E11" i="28"/>
  <c r="E12" i="28"/>
  <c r="E13" i="28"/>
  <c r="E8" i="28"/>
  <c r="E22" i="7" l="1"/>
  <c r="E16" i="17"/>
  <c r="D18" i="8"/>
  <c r="D19" i="8"/>
  <c r="D56" i="18"/>
  <c r="E30" i="18" l="1"/>
  <c r="E41" i="28" l="1"/>
  <c r="D29" i="10" l="1"/>
  <c r="D31" i="10"/>
  <c r="D30" i="10"/>
  <c r="D78" i="22"/>
  <c r="D8" i="22"/>
  <c r="D35" i="19" l="1"/>
  <c r="D10" i="16" l="1"/>
  <c r="D30" i="18" l="1"/>
  <c r="C15" i="1" l="1"/>
  <c r="C24" i="1"/>
  <c r="F25" i="21"/>
  <c r="D24" i="21"/>
  <c r="F24" i="21" s="1"/>
  <c r="C22" i="1"/>
  <c r="F20" i="19"/>
  <c r="C11" i="1"/>
  <c r="F45" i="10"/>
  <c r="C13" i="1"/>
  <c r="F31" i="12"/>
  <c r="C12" i="1"/>
  <c r="D34" i="11"/>
  <c r="G24" i="21" l="1"/>
  <c r="D26" i="21"/>
  <c r="E26" i="21"/>
  <c r="C39" i="1" l="1"/>
  <c r="B39" i="1"/>
  <c r="D39" i="1" s="1"/>
  <c r="D49" i="11" l="1"/>
  <c r="F49" i="11" s="1"/>
  <c r="F41" i="11"/>
  <c r="D39" i="11"/>
  <c r="D40" i="11"/>
  <c r="D38" i="11"/>
  <c r="D36" i="11"/>
  <c r="D13" i="11"/>
  <c r="D14" i="11"/>
  <c r="D15" i="11"/>
  <c r="D12" i="11"/>
  <c r="D8" i="11"/>
  <c r="D10" i="11" s="1"/>
  <c r="D53" i="23"/>
  <c r="F53" i="23" s="1"/>
  <c r="D48" i="23"/>
  <c r="D47" i="23"/>
  <c r="F47" i="23" s="1"/>
  <c r="D44" i="23"/>
  <c r="D43" i="23"/>
  <c r="D40" i="23"/>
  <c r="D34" i="23"/>
  <c r="D35" i="23"/>
  <c r="D36" i="23"/>
  <c r="D37" i="23"/>
  <c r="D38" i="23"/>
  <c r="D39" i="23"/>
  <c r="D24" i="23"/>
  <c r="D25" i="23"/>
  <c r="D26" i="23"/>
  <c r="D27" i="23"/>
  <c r="D28" i="23"/>
  <c r="D29" i="23"/>
  <c r="D30" i="23"/>
  <c r="D31" i="23"/>
  <c r="D32" i="23"/>
  <c r="D33" i="23"/>
  <c r="D23" i="23"/>
  <c r="D17" i="23"/>
  <c r="D18" i="23"/>
  <c r="D19" i="23"/>
  <c r="D20" i="23"/>
  <c r="D13" i="23"/>
  <c r="D14" i="23"/>
  <c r="D15" i="23"/>
  <c r="D16" i="23"/>
  <c r="G16" i="23" s="1"/>
  <c r="D12" i="23"/>
  <c r="D9" i="23"/>
  <c r="D8" i="23"/>
  <c r="D52" i="13"/>
  <c r="F52" i="13" s="1"/>
  <c r="D38" i="13"/>
  <c r="F38" i="13" s="1"/>
  <c r="D30" i="13"/>
  <c r="F30" i="13" s="1"/>
  <c r="D10" i="13"/>
  <c r="D34" i="13"/>
  <c r="F34" i="13" s="1"/>
  <c r="D44" i="13"/>
  <c r="D43" i="13"/>
  <c r="D41" i="13"/>
  <c r="D37" i="13"/>
  <c r="D33" i="13"/>
  <c r="D27" i="13"/>
  <c r="D28" i="13"/>
  <c r="D29" i="13"/>
  <c r="D26" i="13"/>
  <c r="D31" i="13" s="1"/>
  <c r="D22" i="13"/>
  <c r="D23" i="13"/>
  <c r="D21" i="13"/>
  <c r="D18" i="13"/>
  <c r="D14" i="13"/>
  <c r="D15" i="13"/>
  <c r="D16" i="13"/>
  <c r="D17" i="13"/>
  <c r="D13" i="13"/>
  <c r="D9" i="13"/>
  <c r="D8" i="13"/>
  <c r="G47" i="23" l="1"/>
  <c r="E49" i="23"/>
  <c r="G49" i="23" s="1"/>
  <c r="C14" i="1"/>
  <c r="D49" i="23"/>
  <c r="F16" i="23"/>
  <c r="F49" i="23" l="1"/>
  <c r="D82" i="22"/>
  <c r="F82" i="22" s="1"/>
  <c r="E43" i="22"/>
  <c r="D42" i="22"/>
  <c r="F42" i="22" s="1"/>
  <c r="D75" i="22"/>
  <c r="D74" i="22"/>
  <c r="D69" i="22"/>
  <c r="D70" i="22"/>
  <c r="D71" i="22"/>
  <c r="D68" i="22"/>
  <c r="D59" i="22"/>
  <c r="D60" i="22"/>
  <c r="D61" i="22"/>
  <c r="D62" i="22"/>
  <c r="D63" i="22"/>
  <c r="D64" i="22"/>
  <c r="D65" i="22"/>
  <c r="D58" i="22"/>
  <c r="D46" i="22"/>
  <c r="D47" i="22"/>
  <c r="D48" i="22"/>
  <c r="D49" i="22"/>
  <c r="D50" i="22"/>
  <c r="D51" i="22"/>
  <c r="D52" i="22"/>
  <c r="D53" i="22"/>
  <c r="D54" i="22"/>
  <c r="D55" i="22"/>
  <c r="D45" i="22"/>
  <c r="D34" i="22"/>
  <c r="D35" i="22"/>
  <c r="D36" i="22"/>
  <c r="D37" i="22"/>
  <c r="D38" i="22"/>
  <c r="D39" i="22"/>
  <c r="D40" i="22"/>
  <c r="D41" i="22"/>
  <c r="D33" i="22"/>
  <c r="D29" i="22"/>
  <c r="D30" i="22"/>
  <c r="D28" i="22"/>
  <c r="D24" i="22"/>
  <c r="D25" i="22"/>
  <c r="D23" i="22"/>
  <c r="D12" i="22"/>
  <c r="D13" i="22"/>
  <c r="D14" i="22"/>
  <c r="D15" i="22"/>
  <c r="D16" i="22"/>
  <c r="D17" i="22"/>
  <c r="D18" i="22"/>
  <c r="D19" i="22"/>
  <c r="D20" i="22"/>
  <c r="D11" i="22"/>
  <c r="D45" i="21"/>
  <c r="F45" i="21" s="1"/>
  <c r="D37" i="21"/>
  <c r="D38" i="21"/>
  <c r="D36" i="21"/>
  <c r="D33" i="21"/>
  <c r="D34" i="21"/>
  <c r="D35" i="21"/>
  <c r="D32" i="21"/>
  <c r="D29" i="21"/>
  <c r="D28" i="21"/>
  <c r="D19" i="21"/>
  <c r="D20" i="21"/>
  <c r="D21" i="21"/>
  <c r="D18" i="21"/>
  <c r="D9" i="21"/>
  <c r="D10" i="21"/>
  <c r="D11" i="21"/>
  <c r="D12" i="21"/>
  <c r="D13" i="21"/>
  <c r="D14" i="21"/>
  <c r="D15" i="21"/>
  <c r="D8" i="21"/>
  <c r="D59" i="19"/>
  <c r="D52" i="19"/>
  <c r="D51" i="19"/>
  <c r="D44" i="19"/>
  <c r="D45" i="19"/>
  <c r="D46" i="19"/>
  <c r="D47" i="19"/>
  <c r="D48" i="19"/>
  <c r="D43" i="19"/>
  <c r="D40" i="19"/>
  <c r="D33" i="19"/>
  <c r="D34" i="19"/>
  <c r="D36" i="19"/>
  <c r="D37" i="19"/>
  <c r="D38" i="19"/>
  <c r="D39" i="19"/>
  <c r="D32" i="19"/>
  <c r="D24" i="19"/>
  <c r="D25" i="19"/>
  <c r="D26" i="19"/>
  <c r="D27" i="19"/>
  <c r="D28" i="19"/>
  <c r="D29" i="19"/>
  <c r="D23" i="19"/>
  <c r="D19" i="19"/>
  <c r="G19" i="19" s="1"/>
  <c r="D13" i="19"/>
  <c r="D14" i="19"/>
  <c r="D15" i="19"/>
  <c r="D16" i="19"/>
  <c r="D17" i="19"/>
  <c r="D18" i="19"/>
  <c r="D12" i="19"/>
  <c r="D9" i="19"/>
  <c r="D8" i="19"/>
  <c r="F40" i="18"/>
  <c r="D34" i="18"/>
  <c r="F34" i="18" s="1"/>
  <c r="D31" i="18"/>
  <c r="D52" i="18"/>
  <c r="F52" i="18" s="1"/>
  <c r="D46" i="18"/>
  <c r="D43" i="18"/>
  <c r="D39" i="18"/>
  <c r="D37" i="18"/>
  <c r="D33" i="18"/>
  <c r="D25" i="18"/>
  <c r="D23" i="18"/>
  <c r="D21" i="18"/>
  <c r="D17" i="18"/>
  <c r="D18" i="18"/>
  <c r="D16" i="18"/>
  <c r="D14" i="18"/>
  <c r="D12" i="18"/>
  <c r="D10" i="18"/>
  <c r="D8" i="18"/>
  <c r="D49" i="14"/>
  <c r="F49" i="14" s="1"/>
  <c r="D42" i="14"/>
  <c r="D39" i="14"/>
  <c r="D31" i="14"/>
  <c r="D30" i="14"/>
  <c r="D29" i="14"/>
  <c r="D23" i="14"/>
  <c r="D24" i="14"/>
  <c r="D25" i="14"/>
  <c r="D26" i="14"/>
  <c r="D22" i="14"/>
  <c r="D19" i="14"/>
  <c r="D18" i="14"/>
  <c r="D17" i="14"/>
  <c r="D16" i="14"/>
  <c r="D13" i="14"/>
  <c r="D12" i="14"/>
  <c r="D10" i="14"/>
  <c r="D8" i="14"/>
  <c r="D39" i="15"/>
  <c r="F39" i="15" s="1"/>
  <c r="D28" i="15"/>
  <c r="D29" i="15"/>
  <c r="D30" i="15"/>
  <c r="D31" i="15"/>
  <c r="D32" i="15"/>
  <c r="D33" i="15"/>
  <c r="D34" i="15"/>
  <c r="D27" i="15"/>
  <c r="D24" i="15"/>
  <c r="D23" i="15"/>
  <c r="D21" i="15"/>
  <c r="D18" i="15"/>
  <c r="D17" i="15"/>
  <c r="D15" i="15"/>
  <c r="D10" i="15"/>
  <c r="D8" i="15"/>
  <c r="D35" i="16"/>
  <c r="F35" i="16" s="1"/>
  <c r="D24" i="16"/>
  <c r="D25" i="16"/>
  <c r="D26" i="16"/>
  <c r="D27" i="16"/>
  <c r="D28" i="16"/>
  <c r="D29" i="16"/>
  <c r="D30" i="16"/>
  <c r="D23" i="16"/>
  <c r="D21" i="16"/>
  <c r="D14" i="16"/>
  <c r="D15" i="16"/>
  <c r="D16" i="16"/>
  <c r="D17" i="16"/>
  <c r="D18" i="16"/>
  <c r="D13" i="16"/>
  <c r="D9" i="16"/>
  <c r="D8" i="16"/>
  <c r="D39" i="17"/>
  <c r="F39" i="17" s="1"/>
  <c r="D34" i="17"/>
  <c r="D29" i="17"/>
  <c r="D30" i="17"/>
  <c r="D31" i="17"/>
  <c r="D32" i="17"/>
  <c r="D33" i="17"/>
  <c r="D28" i="17"/>
  <c r="D19" i="17"/>
  <c r="D20" i="17"/>
  <c r="D21" i="17"/>
  <c r="D22" i="17"/>
  <c r="D23" i="17"/>
  <c r="D24" i="17"/>
  <c r="D25" i="17"/>
  <c r="D18" i="17"/>
  <c r="D9" i="17"/>
  <c r="D10" i="17"/>
  <c r="D11" i="17"/>
  <c r="D12" i="17"/>
  <c r="D13" i="17"/>
  <c r="D14" i="17"/>
  <c r="D15" i="17"/>
  <c r="D8" i="17"/>
  <c r="E21" i="19" l="1"/>
  <c r="D21" i="19"/>
  <c r="D35" i="17"/>
  <c r="D43" i="22"/>
  <c r="G42" i="22"/>
  <c r="F19" i="19"/>
  <c r="F30" i="18"/>
  <c r="D39" i="20" l="1"/>
  <c r="F39" i="20" s="1"/>
  <c r="D31" i="20" l="1"/>
  <c r="D32" i="20"/>
  <c r="D33" i="20"/>
  <c r="D34" i="20"/>
  <c r="D30" i="20"/>
  <c r="D25" i="20"/>
  <c r="D26" i="20"/>
  <c r="D27" i="20"/>
  <c r="D24" i="20"/>
  <c r="D17" i="20"/>
  <c r="D18" i="20"/>
  <c r="D19" i="20"/>
  <c r="D20" i="20"/>
  <c r="D21" i="20"/>
  <c r="D16" i="20"/>
  <c r="D13" i="20"/>
  <c r="D12" i="20"/>
  <c r="D9" i="20"/>
  <c r="D8" i="20"/>
  <c r="E32" i="12" l="1"/>
  <c r="D42" i="12"/>
  <c r="D36" i="12"/>
  <c r="D34" i="12"/>
  <c r="D30" i="12"/>
  <c r="D32" i="12" s="1"/>
  <c r="D27" i="12"/>
  <c r="D26" i="12"/>
  <c r="D25" i="12"/>
  <c r="D17" i="12"/>
  <c r="D18" i="12"/>
  <c r="D19" i="12"/>
  <c r="D20" i="12"/>
  <c r="D21" i="12"/>
  <c r="D22" i="12"/>
  <c r="D16" i="12"/>
  <c r="D9" i="12"/>
  <c r="D10" i="12"/>
  <c r="D11" i="12"/>
  <c r="D12" i="12"/>
  <c r="D13" i="12"/>
  <c r="D8" i="12"/>
  <c r="D56" i="10"/>
  <c r="F56" i="10" s="1"/>
  <c r="G32" i="12" l="1"/>
  <c r="D49" i="10"/>
  <c r="D48" i="10"/>
  <c r="D39" i="10"/>
  <c r="D40" i="10"/>
  <c r="D41" i="10"/>
  <c r="D42" i="10"/>
  <c r="D43" i="10"/>
  <c r="D44" i="10"/>
  <c r="D38" i="10"/>
  <c r="D35" i="10"/>
  <c r="D34" i="10"/>
  <c r="D28" i="10"/>
  <c r="D22" i="10"/>
  <c r="D23" i="10"/>
  <c r="D24" i="10"/>
  <c r="D25" i="10"/>
  <c r="D21" i="10"/>
  <c r="D18" i="10"/>
  <c r="D17" i="10"/>
  <c r="D15" i="10"/>
  <c r="D9" i="10"/>
  <c r="D10" i="10"/>
  <c r="D11" i="10"/>
  <c r="D12" i="10"/>
  <c r="D8" i="10"/>
  <c r="G44" i="10" l="1"/>
  <c r="D46" i="10"/>
  <c r="F44" i="10"/>
  <c r="D47" i="9"/>
  <c r="F47" i="9" s="1"/>
  <c r="D36" i="9"/>
  <c r="D37" i="9"/>
  <c r="D38" i="9"/>
  <c r="D39" i="9"/>
  <c r="D40" i="9"/>
  <c r="D41" i="9"/>
  <c r="D42" i="9"/>
  <c r="D35" i="9"/>
  <c r="D28" i="9"/>
  <c r="D29" i="9"/>
  <c r="D30" i="9"/>
  <c r="D31" i="9"/>
  <c r="D32" i="9"/>
  <c r="D27" i="9"/>
  <c r="D18" i="9"/>
  <c r="D19" i="9"/>
  <c r="D20" i="9"/>
  <c r="D21" i="9"/>
  <c r="D22" i="9"/>
  <c r="D23" i="9"/>
  <c r="D24" i="9"/>
  <c r="D17" i="9"/>
  <c r="D9" i="9"/>
  <c r="D10" i="9"/>
  <c r="D11" i="9"/>
  <c r="D12" i="9"/>
  <c r="D13" i="9"/>
  <c r="D14" i="9"/>
  <c r="D8" i="9"/>
  <c r="D46" i="8"/>
  <c r="F46" i="8" s="1"/>
  <c r="D40" i="8"/>
  <c r="F40" i="8" s="1"/>
  <c r="D34" i="8"/>
  <c r="D35" i="8"/>
  <c r="D36" i="8"/>
  <c r="D37" i="8"/>
  <c r="D33" i="8"/>
  <c r="D31" i="8"/>
  <c r="D23" i="8"/>
  <c r="D24" i="8"/>
  <c r="D22" i="8"/>
  <c r="D17" i="8"/>
  <c r="D16" i="8"/>
  <c r="D9" i="8"/>
  <c r="D10" i="8"/>
  <c r="D11" i="8"/>
  <c r="D12" i="8"/>
  <c r="D13" i="8"/>
  <c r="D8" i="8"/>
  <c r="D42" i="7"/>
  <c r="D43" i="7"/>
  <c r="D44" i="7"/>
  <c r="D45" i="7"/>
  <c r="D41" i="7"/>
  <c r="D31" i="7"/>
  <c r="F31" i="7" s="1"/>
  <c r="D35" i="7"/>
  <c r="D36" i="7"/>
  <c r="D37" i="7"/>
  <c r="D38" i="7"/>
  <c r="D39" i="7"/>
  <c r="D34" i="7"/>
  <c r="D25" i="7"/>
  <c r="D26" i="7"/>
  <c r="D27" i="7"/>
  <c r="D28" i="7"/>
  <c r="D29" i="7"/>
  <c r="D30" i="7"/>
  <c r="D24" i="7"/>
  <c r="D14" i="7"/>
  <c r="D15" i="7"/>
  <c r="D16" i="7"/>
  <c r="D17" i="7"/>
  <c r="D18" i="7"/>
  <c r="D19" i="7"/>
  <c r="D20" i="7"/>
  <c r="D21" i="7"/>
  <c r="D13" i="7"/>
  <c r="D10" i="7"/>
  <c r="D9" i="7"/>
  <c r="D8" i="7"/>
  <c r="D32" i="7" l="1"/>
  <c r="G31" i="7"/>
  <c r="E32" i="7"/>
  <c r="D41" i="28" l="1"/>
  <c r="D31" i="28"/>
  <c r="D22" i="28"/>
  <c r="D23" i="28"/>
  <c r="D24" i="28"/>
  <c r="D25" i="28"/>
  <c r="D26" i="28"/>
  <c r="D27" i="28"/>
  <c r="D28" i="28"/>
  <c r="D21" i="28"/>
  <c r="D18" i="28"/>
  <c r="D17" i="28"/>
  <c r="D16" i="28"/>
  <c r="D13" i="28"/>
  <c r="F13" i="28" s="1"/>
  <c r="D12" i="28"/>
  <c r="F12" i="28" s="1"/>
  <c r="D9" i="28"/>
  <c r="D10" i="28"/>
  <c r="D11" i="28"/>
  <c r="D8" i="28"/>
  <c r="C2" i="28"/>
  <c r="A159" i="27" l="1"/>
  <c r="E159" i="27"/>
  <c r="G40" i="19" l="1"/>
  <c r="F40" i="19"/>
  <c r="D41" i="19"/>
  <c r="D24" i="27" l="1"/>
  <c r="D23" i="27" l="1"/>
  <c r="D20" i="27"/>
  <c r="D6" i="27"/>
  <c r="A33" i="27" l="1"/>
  <c r="E33" i="27"/>
  <c r="D15" i="27"/>
  <c r="D400" i="27"/>
  <c r="D109" i="27" l="1"/>
  <c r="D349" i="27" l="1"/>
  <c r="R42" i="11" l="1"/>
  <c r="R31" i="16"/>
  <c r="D381" i="27" l="1"/>
  <c r="D116" i="27"/>
  <c r="D21" i="27" l="1"/>
  <c r="A381" i="27" l="1"/>
  <c r="E381" i="27"/>
  <c r="D4" i="27"/>
  <c r="D305" i="27" l="1"/>
  <c r="T40" i="23" l="1"/>
  <c r="T39" i="23"/>
  <c r="R41" i="23"/>
  <c r="T38" i="23"/>
  <c r="T37" i="23"/>
  <c r="T36" i="23"/>
  <c r="T35" i="23"/>
  <c r="S34" i="23"/>
  <c r="T34" i="23" s="1"/>
  <c r="T33" i="23"/>
  <c r="T32" i="23"/>
  <c r="T31" i="23"/>
  <c r="T30" i="23"/>
  <c r="T29" i="23"/>
  <c r="T28" i="23"/>
  <c r="T27" i="23"/>
  <c r="T26" i="23"/>
  <c r="T25" i="23"/>
  <c r="T24" i="23"/>
  <c r="T23" i="23"/>
  <c r="S41" i="23" l="1"/>
  <c r="T41" i="23"/>
  <c r="E42" i="1"/>
  <c r="C34" i="27" l="1"/>
  <c r="E25" i="27" l="1"/>
  <c r="A25" i="27"/>
  <c r="A11" i="27" l="1"/>
  <c r="E11" i="27"/>
  <c r="A319" i="27" l="1"/>
  <c r="E319" i="27"/>
  <c r="A296" i="27" l="1"/>
  <c r="E296" i="27"/>
  <c r="A273" i="27" l="1"/>
  <c r="E273" i="27"/>
  <c r="A30" i="27"/>
  <c r="E30" i="27"/>
  <c r="A136" i="27" l="1"/>
  <c r="E136" i="27"/>
  <c r="A67" i="27" l="1"/>
  <c r="E67" i="27"/>
  <c r="A80" i="27"/>
  <c r="E80" i="27"/>
  <c r="A64" i="27"/>
  <c r="E64" i="27"/>
  <c r="E44" i="27" l="1"/>
  <c r="A77" i="27" l="1"/>
  <c r="E77" i="27"/>
  <c r="E262" i="27"/>
  <c r="E264" i="27"/>
  <c r="E265" i="27"/>
  <c r="E226" i="27"/>
  <c r="E268" i="27"/>
  <c r="F50" i="18" l="1"/>
  <c r="D50" i="18"/>
  <c r="D41" i="23" l="1"/>
  <c r="A54" i="27" l="1"/>
  <c r="A129" i="27"/>
  <c r="A276" i="27"/>
  <c r="A285" i="27"/>
  <c r="A267" i="27" l="1"/>
  <c r="A399" i="27" l="1"/>
  <c r="A371" i="27" l="1"/>
  <c r="A340" i="27" l="1"/>
  <c r="A81" i="27" l="1"/>
  <c r="A357" i="27" l="1"/>
  <c r="A358" i="27"/>
  <c r="A171" i="27"/>
  <c r="A441" i="27"/>
  <c r="A15" i="27" l="1"/>
  <c r="A141" i="27" l="1"/>
  <c r="A397" i="27" l="1"/>
  <c r="A116" i="27" l="1"/>
  <c r="A156" i="27" l="1"/>
  <c r="D443" i="27" l="1"/>
  <c r="B59" i="30" l="1"/>
  <c r="A258" i="27" l="1"/>
  <c r="A58" i="27" l="1"/>
  <c r="A347" i="27"/>
  <c r="A114" i="27" l="1"/>
  <c r="A251" i="27"/>
  <c r="A326" i="27"/>
  <c r="A18" i="27"/>
  <c r="A152" i="27" l="1"/>
  <c r="G15" i="17"/>
  <c r="F15" i="17"/>
  <c r="A20" i="27"/>
  <c r="G18" i="13" l="1"/>
  <c r="D20" i="8" l="1"/>
  <c r="D25" i="8"/>
  <c r="D14" i="8"/>
  <c r="A242" i="27" l="1"/>
  <c r="A436" i="27"/>
  <c r="A437" i="27"/>
  <c r="A438" i="27"/>
  <c r="A224" i="27"/>
  <c r="A439" i="27"/>
  <c r="A440" i="27"/>
  <c r="A71" i="27"/>
  <c r="A57" i="27"/>
  <c r="A62" i="27"/>
  <c r="A230" i="27" l="1"/>
  <c r="A63" i="27"/>
  <c r="A429" i="27"/>
  <c r="A182" i="27"/>
  <c r="A430" i="27"/>
  <c r="A143" i="27"/>
  <c r="A431" i="27"/>
  <c r="A13" i="27"/>
  <c r="A432" i="27"/>
  <c r="A433" i="27"/>
  <c r="A78" i="27"/>
  <c r="A434" i="27"/>
  <c r="A94" i="27"/>
  <c r="A435" i="27"/>
  <c r="A163" i="27"/>
  <c r="A84" i="27"/>
  <c r="D38" i="8" l="1"/>
  <c r="D44" i="8" s="1"/>
  <c r="B9" i="1" s="1"/>
  <c r="E44" i="25" l="1"/>
  <c r="F43" i="25"/>
  <c r="E43" i="25"/>
  <c r="D43" i="25"/>
  <c r="F42" i="25"/>
  <c r="E42" i="25"/>
  <c r="D42" i="25"/>
  <c r="F41" i="25"/>
  <c r="E41" i="25"/>
  <c r="E40" i="25"/>
  <c r="D40" i="25"/>
  <c r="F39" i="25"/>
  <c r="E39" i="25"/>
  <c r="F38" i="25"/>
  <c r="E38" i="25"/>
  <c r="F37" i="25"/>
  <c r="E37" i="25"/>
  <c r="F52" i="25"/>
  <c r="E52" i="25"/>
  <c r="D52" i="25"/>
  <c r="E29" i="25"/>
  <c r="E28" i="25"/>
  <c r="D28" i="25"/>
  <c r="F26" i="25"/>
  <c r="E26" i="25"/>
  <c r="F25" i="25"/>
  <c r="E25" i="25"/>
  <c r="D25" i="25"/>
  <c r="F24" i="25"/>
  <c r="E24" i="25"/>
  <c r="D24" i="25"/>
  <c r="F23" i="25"/>
  <c r="E23" i="25"/>
  <c r="D23" i="25"/>
  <c r="C23" i="25"/>
  <c r="B23" i="25"/>
  <c r="F22" i="25"/>
  <c r="E22" i="25"/>
  <c r="L8" i="8"/>
  <c r="E46" i="25" l="1"/>
  <c r="G23" i="25"/>
  <c r="A237" i="27"/>
  <c r="A415" i="27"/>
  <c r="A416" i="27"/>
  <c r="A417" i="27"/>
  <c r="A217" i="27"/>
  <c r="A418" i="27"/>
  <c r="A185" i="27"/>
  <c r="A419" i="27"/>
  <c r="A89" i="27"/>
  <c r="A420" i="27"/>
  <c r="A154" i="27"/>
  <c r="A23" i="27"/>
  <c r="A421" i="27"/>
  <c r="A422" i="27"/>
  <c r="A423" i="27"/>
  <c r="A254" i="27"/>
  <c r="A424" i="27"/>
  <c r="A425" i="27"/>
  <c r="A426" i="27"/>
  <c r="A193" i="27"/>
  <c r="A427" i="27"/>
  <c r="A101" i="27"/>
  <c r="A428" i="27"/>
  <c r="A146" i="27"/>
  <c r="A206" i="27"/>
  <c r="A29" i="27"/>
  <c r="D4" i="28"/>
  <c r="D42" i="11" l="1"/>
  <c r="C30" i="1"/>
  <c r="D35" i="18" l="1"/>
  <c r="D41" i="18"/>
  <c r="D39" i="13"/>
  <c r="D35" i="13"/>
  <c r="D11" i="13" l="1"/>
  <c r="F10" i="13"/>
  <c r="C7" i="1" l="1"/>
  <c r="D14" i="28"/>
  <c r="C8" i="1" l="1"/>
  <c r="D11" i="7"/>
  <c r="G49" i="28"/>
  <c r="D42" i="28"/>
  <c r="D29" i="28"/>
  <c r="D19" i="28"/>
  <c r="D44" i="28" l="1"/>
  <c r="D47" i="28" s="1"/>
  <c r="C32" i="1"/>
  <c r="B7" i="1" l="1"/>
  <c r="F39" i="1"/>
  <c r="A389" i="27" l="1"/>
  <c r="A390" i="27"/>
  <c r="A391" i="27"/>
  <c r="A392" i="27"/>
  <c r="A393" i="27"/>
  <c r="A190" i="27"/>
  <c r="A394" i="27"/>
  <c r="A165" i="27"/>
  <c r="A395" i="27"/>
  <c r="A128" i="27"/>
  <c r="A396" i="27"/>
  <c r="A90" i="27"/>
  <c r="A247" i="27"/>
  <c r="A398" i="27"/>
  <c r="A145" i="27"/>
  <c r="A244" i="27"/>
  <c r="A79" i="27"/>
  <c r="A189" i="27"/>
  <c r="A147" i="27"/>
  <c r="A400" i="27"/>
  <c r="A401" i="27"/>
  <c r="A402" i="27"/>
  <c r="A403" i="27"/>
  <c r="A155" i="27"/>
  <c r="A232" i="27"/>
  <c r="A22" i="27"/>
  <c r="A404" i="27"/>
  <c r="A249" i="27"/>
  <c r="A405" i="27"/>
  <c r="A208" i="27"/>
  <c r="A196" i="27"/>
  <c r="A406" i="27"/>
  <c r="A48" i="27"/>
  <c r="A407" i="27"/>
  <c r="A85" i="27"/>
  <c r="A123" i="27"/>
  <c r="A408" i="27"/>
  <c r="A219" i="27"/>
  <c r="A409" i="27"/>
  <c r="A55" i="27"/>
  <c r="A221" i="27"/>
  <c r="A410" i="27"/>
  <c r="A411" i="27"/>
  <c r="A203" i="27"/>
  <c r="A412" i="27"/>
  <c r="A222" i="27"/>
  <c r="A413" i="27"/>
  <c r="A250" i="27"/>
  <c r="A414" i="27"/>
  <c r="A188" i="27" l="1"/>
  <c r="A36" i="27"/>
  <c r="A352" i="27"/>
  <c r="A69" i="27"/>
  <c r="A10" i="27"/>
  <c r="A115" i="27"/>
  <c r="A353" i="27"/>
  <c r="A354" i="27"/>
  <c r="A5" i="27"/>
  <c r="A8" i="27"/>
  <c r="A355" i="27"/>
  <c r="A356" i="27"/>
  <c r="A164" i="27"/>
  <c r="A93" i="27"/>
  <c r="A359" i="27"/>
  <c r="A50" i="27"/>
  <c r="A360" i="27"/>
  <c r="A19" i="27"/>
  <c r="A361" i="27"/>
  <c r="A362" i="27"/>
  <c r="A70" i="27"/>
  <c r="A186" i="27"/>
  <c r="A74" i="27"/>
  <c r="A363" i="27"/>
  <c r="A149" i="27"/>
  <c r="A364" i="27"/>
  <c r="A40" i="27"/>
  <c r="A97" i="27"/>
  <c r="A365" i="27"/>
  <c r="A366" i="27"/>
  <c r="A367" i="27"/>
  <c r="A245" i="27"/>
  <c r="A195" i="27"/>
  <c r="A183" i="27"/>
  <c r="A368" i="27"/>
  <c r="A369" i="27"/>
  <c r="A191" i="27"/>
  <c r="A42" i="27"/>
  <c r="A45" i="27"/>
  <c r="A56" i="27"/>
  <c r="A168" i="27"/>
  <c r="A248" i="27"/>
  <c r="A370" i="27"/>
  <c r="A372" i="27"/>
  <c r="A373" i="27"/>
  <c r="A374" i="27"/>
  <c r="A375" i="27"/>
  <c r="A376" i="27"/>
  <c r="A223" i="27"/>
  <c r="A148" i="27"/>
  <c r="A207" i="27"/>
  <c r="A192" i="27"/>
  <c r="A377" i="27"/>
  <c r="A378" i="27"/>
  <c r="A379" i="27"/>
  <c r="A380" i="27"/>
  <c r="A382" i="27"/>
  <c r="A17" i="27"/>
  <c r="A383" i="27"/>
  <c r="A384" i="27"/>
  <c r="A385" i="27"/>
  <c r="A49" i="27"/>
  <c r="A386" i="27"/>
  <c r="A38" i="27"/>
  <c r="A387" i="27"/>
  <c r="A61" i="27"/>
  <c r="A388" i="27"/>
  <c r="A259" i="27" l="1"/>
  <c r="A212" i="27"/>
  <c r="A106" i="27"/>
  <c r="A113" i="27"/>
  <c r="A96" i="27"/>
  <c r="A260" i="27"/>
  <c r="A215" i="27"/>
  <c r="A240" i="27"/>
  <c r="A261" i="27"/>
  <c r="A173" i="27"/>
  <c r="A137" i="27"/>
  <c r="A175" i="27"/>
  <c r="A202" i="27"/>
  <c r="A9" i="27"/>
  <c r="A262" i="27"/>
  <c r="A234" i="27"/>
  <c r="A124" i="27"/>
  <c r="A263" i="27"/>
  <c r="A264" i="27"/>
  <c r="A265" i="27"/>
  <c r="A226" i="27"/>
  <c r="A266" i="27"/>
  <c r="A130" i="27"/>
  <c r="A66" i="27"/>
  <c r="A268" i="27"/>
  <c r="A269" i="27"/>
  <c r="A76" i="27"/>
  <c r="A198" i="27"/>
  <c r="A187" i="27"/>
  <c r="A239" i="27"/>
  <c r="A176" i="27"/>
  <c r="A270" i="27"/>
  <c r="A178" i="27"/>
  <c r="A271" i="27"/>
  <c r="A27" i="27"/>
  <c r="A46" i="27"/>
  <c r="A214" i="27"/>
  <c r="A204" i="27"/>
  <c r="A200" i="27"/>
  <c r="A272" i="27"/>
  <c r="A151" i="27"/>
  <c r="A140" i="27"/>
  <c r="A107" i="27"/>
  <c r="A142" i="27"/>
  <c r="A73" i="27"/>
  <c r="A65" i="27"/>
  <c r="A166" i="27"/>
  <c r="A274" i="27"/>
  <c r="A275" i="27"/>
  <c r="A162" i="27"/>
  <c r="A167" i="27"/>
  <c r="A257" i="27"/>
  <c r="A277" i="27"/>
  <c r="A278" i="27"/>
  <c r="A256" i="27"/>
  <c r="A179" i="27"/>
  <c r="A194" i="27"/>
  <c r="A279" i="27"/>
  <c r="A281" i="27"/>
  <c r="A282" i="27"/>
  <c r="A255" i="27"/>
  <c r="A100" i="27"/>
  <c r="A82" i="27"/>
  <c r="A72" i="27"/>
  <c r="A132" i="27"/>
  <c r="A133" i="27"/>
  <c r="A283" i="27"/>
  <c r="A26" i="27"/>
  <c r="A59" i="27"/>
  <c r="A284" i="27"/>
  <c r="A150" i="27"/>
  <c r="A110" i="27"/>
  <c r="A28" i="27"/>
  <c r="A68" i="27"/>
  <c r="A39" i="27"/>
  <c r="A99" i="27"/>
  <c r="A86" i="27"/>
  <c r="A103" i="27"/>
  <c r="A12" i="27"/>
  <c r="A138" i="27"/>
  <c r="A102" i="27"/>
  <c r="A184" i="27"/>
  <c r="A105" i="27"/>
  <c r="A286" i="27"/>
  <c r="A122" i="27"/>
  <c r="A227" i="27"/>
  <c r="A75" i="27"/>
  <c r="A287" i="27"/>
  <c r="A160" i="27"/>
  <c r="A53" i="27"/>
  <c r="A44" i="27"/>
  <c r="A288" i="27"/>
  <c r="A289" i="27"/>
  <c r="A290" i="27"/>
  <c r="A181" i="27"/>
  <c r="A111" i="27"/>
  <c r="A169" i="27"/>
  <c r="A291" i="27"/>
  <c r="A233" i="27"/>
  <c r="A292" i="27"/>
  <c r="A7" i="27"/>
  <c r="A88" i="27"/>
  <c r="A125" i="27"/>
  <c r="A293" i="27"/>
  <c r="A252" i="27"/>
  <c r="A47" i="27"/>
  <c r="A104" i="27"/>
  <c r="A294" i="27"/>
  <c r="A157" i="27"/>
  <c r="A218" i="27"/>
  <c r="A295" i="27"/>
  <c r="A209" i="27"/>
  <c r="A297" i="27"/>
  <c r="A298" i="27"/>
  <c r="A117" i="27"/>
  <c r="A299" i="27"/>
  <c r="A300" i="27"/>
  <c r="A213" i="27"/>
  <c r="A301" i="27"/>
  <c r="A302" i="27"/>
  <c r="A236" i="27"/>
  <c r="A235" i="27"/>
  <c r="A253" i="27"/>
  <c r="A52" i="27"/>
  <c r="A95" i="27"/>
  <c r="A139" i="27"/>
  <c r="A303" i="27"/>
  <c r="A134" i="27"/>
  <c r="A119" i="27"/>
  <c r="A120" i="27"/>
  <c r="A225" i="27"/>
  <c r="A87" i="27"/>
  <c r="A304" i="27"/>
  <c r="A305" i="27"/>
  <c r="A205" i="27"/>
  <c r="A174" i="27"/>
  <c r="A306" i="27"/>
  <c r="A307" i="27"/>
  <c r="A308" i="27"/>
  <c r="A43" i="27"/>
  <c r="A34" i="27"/>
  <c r="A309" i="27"/>
  <c r="A60" i="27"/>
  <c r="A310" i="27"/>
  <c r="A35" i="27"/>
  <c r="A311" i="27"/>
  <c r="A144" i="27"/>
  <c r="A108" i="27"/>
  <c r="A6" i="27"/>
  <c r="A201" i="27"/>
  <c r="A246" i="27"/>
  <c r="A3" i="27"/>
  <c r="A229" i="27"/>
  <c r="A312" i="27"/>
  <c r="A313" i="27"/>
  <c r="A314" i="27"/>
  <c r="A315" i="27"/>
  <c r="A316" i="27"/>
  <c r="A228" i="27"/>
  <c r="A317" i="27"/>
  <c r="A318" i="27"/>
  <c r="A14" i="27"/>
  <c r="A216" i="27"/>
  <c r="A320" i="27"/>
  <c r="A127" i="27"/>
  <c r="A197" i="27"/>
  <c r="A321" i="27"/>
  <c r="A322" i="27"/>
  <c r="A241" i="27"/>
  <c r="A323" i="27"/>
  <c r="A324" i="27"/>
  <c r="A325" i="27"/>
  <c r="A327" i="27"/>
  <c r="A211" i="27"/>
  <c r="A16" i="27"/>
  <c r="A328" i="27"/>
  <c r="A21" i="27"/>
  <c r="A329" i="27"/>
  <c r="A41" i="27"/>
  <c r="A330" i="27"/>
  <c r="A331" i="27"/>
  <c r="A332" i="27"/>
  <c r="A333" i="27"/>
  <c r="A37" i="27"/>
  <c r="A131" i="27"/>
  <c r="A158" i="27"/>
  <c r="A334" i="27"/>
  <c r="A335" i="27"/>
  <c r="A336" i="27"/>
  <c r="A91" i="27"/>
  <c r="A177" i="27"/>
  <c r="A2" i="27"/>
  <c r="A180" i="27"/>
  <c r="A231" i="27"/>
  <c r="A337" i="27"/>
  <c r="A31" i="27"/>
  <c r="A338" i="27"/>
  <c r="A32" i="27"/>
  <c r="A210" i="27"/>
  <c r="A339" i="27"/>
  <c r="A153" i="27"/>
  <c r="A341" i="27"/>
  <c r="A92" i="27"/>
  <c r="A342" i="27"/>
  <c r="A343" i="27"/>
  <c r="A83" i="27"/>
  <c r="A24" i="27"/>
  <c r="A118" i="27"/>
  <c r="A135" i="27"/>
  <c r="A344" i="27"/>
  <c r="A345" i="27"/>
  <c r="A172" i="27"/>
  <c r="A170" i="27"/>
  <c r="A346" i="27"/>
  <c r="A220" i="27"/>
  <c r="A98" i="27"/>
  <c r="A126" i="27"/>
  <c r="A348" i="27"/>
  <c r="A238" i="27"/>
  <c r="A121" i="27"/>
  <c r="A243" i="27"/>
  <c r="A4" i="27"/>
  <c r="A199" i="27"/>
  <c r="A109" i="27"/>
  <c r="A349" i="27"/>
  <c r="A112" i="27"/>
  <c r="A350" i="27"/>
  <c r="A161" i="27"/>
  <c r="A351" i="27"/>
  <c r="G21" i="7" l="1"/>
  <c r="D19" i="15"/>
  <c r="D19" i="13"/>
  <c r="D23" i="12"/>
  <c r="D22" i="7"/>
  <c r="G39" i="23" l="1"/>
  <c r="F39" i="23"/>
  <c r="F40" i="23"/>
  <c r="G40" i="23"/>
  <c r="F21" i="7"/>
  <c r="F41" i="28"/>
  <c r="E21" i="25" l="1"/>
  <c r="E31" i="25" s="1"/>
  <c r="E56" i="25" s="1"/>
  <c r="D21" i="25"/>
  <c r="M19" i="26" l="1"/>
  <c r="F9" i="8" l="1"/>
  <c r="L19" i="26" l="1"/>
  <c r="K19" i="26" l="1"/>
  <c r="F18" i="13" l="1"/>
  <c r="G39" i="1" l="1"/>
  <c r="H39" i="1"/>
  <c r="J19" i="26" l="1"/>
  <c r="I19" i="26" l="1"/>
  <c r="G19" i="26" l="1"/>
  <c r="H19" i="26"/>
  <c r="I2" i="1" l="1"/>
  <c r="F19" i="26" l="1"/>
  <c r="L5" i="1" l="1"/>
  <c r="E19" i="26" l="1"/>
  <c r="D19" i="26" l="1"/>
  <c r="L4" i="1"/>
  <c r="C2" i="23" l="1"/>
  <c r="C2" i="22"/>
  <c r="C2" i="21"/>
  <c r="C2" i="20"/>
  <c r="C2" i="19"/>
  <c r="C2" i="18"/>
  <c r="C2" i="17"/>
  <c r="C2" i="16"/>
  <c r="C2" i="15"/>
  <c r="C2" i="14"/>
  <c r="C2" i="13"/>
  <c r="C2" i="12"/>
  <c r="C2" i="11"/>
  <c r="C2" i="10"/>
  <c r="C2" i="9"/>
  <c r="C2" i="8"/>
  <c r="C2" i="7"/>
  <c r="C19" i="26" l="1"/>
  <c r="B19" i="26"/>
  <c r="C14" i="26"/>
  <c r="D14" i="26"/>
  <c r="E14" i="26"/>
  <c r="F14" i="26"/>
  <c r="G14" i="26"/>
  <c r="H14" i="26"/>
  <c r="I14" i="26"/>
  <c r="J14" i="26"/>
  <c r="K14" i="26"/>
  <c r="L14" i="26"/>
  <c r="M14" i="26"/>
  <c r="B14" i="26"/>
  <c r="B33" i="26" l="1"/>
  <c r="C33" i="26" s="1"/>
  <c r="O19" i="26"/>
  <c r="D33" i="26" l="1"/>
  <c r="E33" i="26" l="1"/>
  <c r="F33" i="26" l="1"/>
  <c r="G33" i="26" s="1"/>
  <c r="H33" i="26" s="1"/>
  <c r="I33" i="26" s="1"/>
  <c r="J33" i="26" s="1"/>
  <c r="K33" i="26" s="1"/>
  <c r="L33" i="26" s="1"/>
  <c r="M33" i="26" s="1"/>
  <c r="O23" i="26"/>
  <c r="I18" i="26"/>
  <c r="J18" i="26"/>
  <c r="D56" i="22" l="1"/>
  <c r="D40" i="14"/>
  <c r="D31" i="16"/>
  <c r="D53" i="19"/>
  <c r="D27" i="14"/>
  <c r="D19" i="18"/>
  <c r="D10" i="20"/>
  <c r="D14" i="14"/>
  <c r="D31" i="22"/>
  <c r="D28" i="20"/>
  <c r="D10" i="19"/>
  <c r="D76" i="22"/>
  <c r="G14" i="9"/>
  <c r="D26" i="17"/>
  <c r="D16" i="17"/>
  <c r="D14" i="12"/>
  <c r="D15" i="9"/>
  <c r="D66" i="22"/>
  <c r="D9" i="22" l="1"/>
  <c r="D44" i="18"/>
  <c r="D39" i="21"/>
  <c r="C28" i="1"/>
  <c r="G53" i="7"/>
  <c r="B28" i="26"/>
  <c r="C28" i="26" s="1"/>
  <c r="D28" i="26" s="1"/>
  <c r="E28" i="26" s="1"/>
  <c r="F28" i="26" s="1"/>
  <c r="G28" i="26" s="1"/>
  <c r="H28" i="26" s="1"/>
  <c r="I28" i="26" s="1"/>
  <c r="J28" i="26" s="1"/>
  <c r="K28" i="26" s="1"/>
  <c r="L28" i="26" s="1"/>
  <c r="M28" i="26" s="1"/>
  <c r="N28" i="26" s="1"/>
  <c r="B27" i="26"/>
  <c r="C27" i="26" s="1"/>
  <c r="D27" i="26" s="1"/>
  <c r="E27" i="26" s="1"/>
  <c r="F27" i="26" s="1"/>
  <c r="G27" i="26" s="1"/>
  <c r="H27" i="26" s="1"/>
  <c r="I27" i="26" s="1"/>
  <c r="J27" i="26" s="1"/>
  <c r="K27" i="26" s="1"/>
  <c r="L27" i="26" s="1"/>
  <c r="M27" i="26" s="1"/>
  <c r="N27" i="26" s="1"/>
  <c r="B26" i="26"/>
  <c r="C26" i="26" s="1"/>
  <c r="B25" i="26"/>
  <c r="C25" i="26" s="1"/>
  <c r="D25" i="26" s="1"/>
  <c r="B24" i="26"/>
  <c r="C24" i="26" s="1"/>
  <c r="D24" i="26" s="1"/>
  <c r="E24" i="26" s="1"/>
  <c r="F24" i="26" s="1"/>
  <c r="G24" i="26" s="1"/>
  <c r="A23" i="26"/>
  <c r="N18" i="26"/>
  <c r="M18" i="26"/>
  <c r="K18" i="26"/>
  <c r="H18" i="26"/>
  <c r="G18" i="26"/>
  <c r="F18" i="26"/>
  <c r="E18" i="26"/>
  <c r="D18" i="26"/>
  <c r="C18" i="26"/>
  <c r="B18" i="26"/>
  <c r="B32" i="26" s="1"/>
  <c r="M17" i="26"/>
  <c r="L17" i="26"/>
  <c r="K17" i="26"/>
  <c r="J17" i="26"/>
  <c r="I17" i="26"/>
  <c r="H17" i="26"/>
  <c r="G17" i="26"/>
  <c r="F17" i="26"/>
  <c r="E17" i="26"/>
  <c r="D17" i="26"/>
  <c r="C17" i="26"/>
  <c r="B17" i="26"/>
  <c r="B31" i="26" s="1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B30" i="26" s="1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B29" i="26" s="1"/>
  <c r="A15" i="26"/>
  <c r="B23" i="26"/>
  <c r="C23" i="26" s="1"/>
  <c r="D23" i="26" s="1"/>
  <c r="N10" i="26"/>
  <c r="N14" i="26" s="1"/>
  <c r="F32" i="14"/>
  <c r="F33" i="14"/>
  <c r="F34" i="14"/>
  <c r="F35" i="14"/>
  <c r="F36" i="14"/>
  <c r="F37" i="14"/>
  <c r="F38" i="14"/>
  <c r="G38" i="14"/>
  <c r="G37" i="14"/>
  <c r="G36" i="14"/>
  <c r="G35" i="14"/>
  <c r="G34" i="14"/>
  <c r="G33" i="14"/>
  <c r="G32" i="14"/>
  <c r="A37" i="1"/>
  <c r="L3" i="1"/>
  <c r="L2" i="1"/>
  <c r="G53" i="23"/>
  <c r="G82" i="22"/>
  <c r="G45" i="21"/>
  <c r="G39" i="17"/>
  <c r="G35" i="16"/>
  <c r="G39" i="15"/>
  <c r="G49" i="14"/>
  <c r="G52" i="13"/>
  <c r="G42" i="12"/>
  <c r="G49" i="11"/>
  <c r="G56" i="10"/>
  <c r="G47" i="9"/>
  <c r="G46" i="8"/>
  <c r="G10" i="9"/>
  <c r="G34" i="20"/>
  <c r="G16" i="7"/>
  <c r="G20" i="7"/>
  <c r="D45" i="23"/>
  <c r="D21" i="23"/>
  <c r="D10" i="23"/>
  <c r="F11" i="22"/>
  <c r="F51" i="22"/>
  <c r="F34" i="20"/>
  <c r="D35" i="20"/>
  <c r="D22" i="20"/>
  <c r="D14" i="20"/>
  <c r="D30" i="19"/>
  <c r="D19" i="16"/>
  <c r="D11" i="16"/>
  <c r="D35" i="15"/>
  <c r="D25" i="15"/>
  <c r="D20" i="14"/>
  <c r="D47" i="14" s="1"/>
  <c r="B15" i="1" s="1"/>
  <c r="F15" i="11"/>
  <c r="D50" i="10"/>
  <c r="D36" i="10"/>
  <c r="D26" i="10"/>
  <c r="D19" i="10"/>
  <c r="D13" i="10"/>
  <c r="D43" i="9"/>
  <c r="D33" i="9"/>
  <c r="D25" i="9"/>
  <c r="F10" i="9"/>
  <c r="F14" i="9"/>
  <c r="D4" i="23"/>
  <c r="D4" i="22"/>
  <c r="D4" i="21"/>
  <c r="D4" i="20"/>
  <c r="D4" i="19"/>
  <c r="D4" i="18"/>
  <c r="D4" i="17"/>
  <c r="D4" i="16"/>
  <c r="D4" i="15"/>
  <c r="D4" i="14"/>
  <c r="D4" i="13"/>
  <c r="D4" i="12"/>
  <c r="D4" i="11"/>
  <c r="D4" i="10"/>
  <c r="D4" i="9"/>
  <c r="D4" i="8"/>
  <c r="D4" i="7"/>
  <c r="F16" i="7"/>
  <c r="F20" i="7"/>
  <c r="D51" i="23" l="1"/>
  <c r="N17" i="26"/>
  <c r="O17" i="26" s="1"/>
  <c r="D45" i="9"/>
  <c r="B10" i="1" s="1"/>
  <c r="C30" i="26"/>
  <c r="C32" i="26"/>
  <c r="O16" i="26"/>
  <c r="B49" i="26"/>
  <c r="B48" i="26"/>
  <c r="E23" i="26"/>
  <c r="O15" i="26"/>
  <c r="O18" i="26"/>
  <c r="D37" i="15"/>
  <c r="B19" i="1" s="1"/>
  <c r="D19" i="1" s="1"/>
  <c r="E25" i="26"/>
  <c r="H24" i="26"/>
  <c r="D26" i="26"/>
  <c r="E26" i="26" s="1"/>
  <c r="F26" i="26" s="1"/>
  <c r="G26" i="26" s="1"/>
  <c r="H26" i="26" s="1"/>
  <c r="I26" i="26" s="1"/>
  <c r="J26" i="26" s="1"/>
  <c r="K26" i="26" s="1"/>
  <c r="L26" i="26" s="1"/>
  <c r="M26" i="26" s="1"/>
  <c r="N26" i="26" s="1"/>
  <c r="B47" i="26"/>
  <c r="C29" i="26"/>
  <c r="O14" i="26"/>
  <c r="C31" i="26"/>
  <c r="D16" i="11"/>
  <c r="D44" i="11" s="1"/>
  <c r="D47" i="11" s="1"/>
  <c r="D22" i="21"/>
  <c r="D48" i="18"/>
  <c r="D54" i="18" s="1"/>
  <c r="D28" i="12"/>
  <c r="D38" i="12" s="1"/>
  <c r="D40" i="12" s="1"/>
  <c r="D45" i="13"/>
  <c r="D16" i="21"/>
  <c r="D49" i="19"/>
  <c r="D55" i="19" s="1"/>
  <c r="D57" i="19" s="1"/>
  <c r="D72" i="22"/>
  <c r="G51" i="22"/>
  <c r="D37" i="20"/>
  <c r="D37" i="17"/>
  <c r="D32" i="10"/>
  <c r="D52" i="10" s="1"/>
  <c r="D54" i="10" s="1"/>
  <c r="D40" i="7"/>
  <c r="F30" i="22"/>
  <c r="G30" i="22"/>
  <c r="D21" i="22"/>
  <c r="D24" i="13"/>
  <c r="G11" i="22"/>
  <c r="D26" i="22"/>
  <c r="D80" i="22" s="1"/>
  <c r="D30" i="21"/>
  <c r="D41" i="21" s="1"/>
  <c r="D46" i="7"/>
  <c r="D43" i="21" l="1"/>
  <c r="D47" i="13"/>
  <c r="D50" i="13" s="1"/>
  <c r="D48" i="7"/>
  <c r="D51" i="7" s="1"/>
  <c r="B30" i="1"/>
  <c r="B32" i="1" s="1"/>
  <c r="D32" i="1" s="1"/>
  <c r="C49" i="26"/>
  <c r="D32" i="26"/>
  <c r="E32" i="26" s="1"/>
  <c r="D30" i="26"/>
  <c r="F23" i="26"/>
  <c r="F39" i="26"/>
  <c r="J39" i="26"/>
  <c r="N39" i="26"/>
  <c r="C39" i="26"/>
  <c r="E39" i="26"/>
  <c r="G39" i="26"/>
  <c r="K39" i="26"/>
  <c r="D39" i="26"/>
  <c r="I39" i="26"/>
  <c r="B39" i="26"/>
  <c r="H39" i="26"/>
  <c r="L39" i="26"/>
  <c r="M39" i="26"/>
  <c r="C47" i="26"/>
  <c r="D31" i="26"/>
  <c r="I24" i="26"/>
  <c r="F25" i="26"/>
  <c r="D29" i="26"/>
  <c r="C48" i="26"/>
  <c r="F29" i="25"/>
  <c r="B21" i="1"/>
  <c r="D21" i="1" s="1"/>
  <c r="B23" i="1"/>
  <c r="D23" i="1" s="1"/>
  <c r="D10" i="1"/>
  <c r="F44" i="25"/>
  <c r="D15" i="1"/>
  <c r="D37" i="25"/>
  <c r="D33" i="16"/>
  <c r="B12" i="1" l="1"/>
  <c r="D12" i="1" s="1"/>
  <c r="G39" i="20"/>
  <c r="D30" i="1"/>
  <c r="B14" i="1"/>
  <c r="D14" i="1" s="1"/>
  <c r="E30" i="26"/>
  <c r="F32" i="26"/>
  <c r="F28" i="25"/>
  <c r="B13" i="1"/>
  <c r="D13" i="1" s="1"/>
  <c r="G23" i="26"/>
  <c r="D47" i="26"/>
  <c r="F27" i="25"/>
  <c r="D48" i="26"/>
  <c r="G25" i="26"/>
  <c r="J24" i="26"/>
  <c r="E31" i="26"/>
  <c r="E29" i="26"/>
  <c r="D49" i="26"/>
  <c r="B22" i="1"/>
  <c r="B11" i="1"/>
  <c r="D11" i="1" s="1"/>
  <c r="B24" i="1"/>
  <c r="D24" i="1" s="1"/>
  <c r="B25" i="1"/>
  <c r="D25" i="1" s="1"/>
  <c r="B20" i="1"/>
  <c r="B26" i="1"/>
  <c r="D26" i="1" s="1"/>
  <c r="F40" i="25" l="1"/>
  <c r="F46" i="25" s="1"/>
  <c r="D22" i="1"/>
  <c r="D9" i="1"/>
  <c r="F30" i="26"/>
  <c r="G32" i="26"/>
  <c r="H23" i="26"/>
  <c r="F29" i="26"/>
  <c r="E47" i="26"/>
  <c r="E48" i="26"/>
  <c r="E49" i="26"/>
  <c r="F31" i="26"/>
  <c r="H25" i="26"/>
  <c r="K24" i="26"/>
  <c r="D20" i="1"/>
  <c r="B28" i="1"/>
  <c r="H32" i="26" l="1"/>
  <c r="G30" i="26"/>
  <c r="I23" i="26"/>
  <c r="I25" i="26"/>
  <c r="G29" i="26"/>
  <c r="F47" i="26"/>
  <c r="F48" i="26"/>
  <c r="F49" i="26"/>
  <c r="L24" i="26"/>
  <c r="G31" i="26"/>
  <c r="D28" i="1"/>
  <c r="I32" i="26" l="1"/>
  <c r="H30" i="26"/>
  <c r="J23" i="26"/>
  <c r="H31" i="26"/>
  <c r="M24" i="26"/>
  <c r="H29" i="26"/>
  <c r="G47" i="26"/>
  <c r="G49" i="26"/>
  <c r="G48" i="26"/>
  <c r="J25" i="26"/>
  <c r="I30" i="26" l="1"/>
  <c r="J32" i="26"/>
  <c r="K23" i="26"/>
  <c r="N24" i="26"/>
  <c r="I31" i="26"/>
  <c r="K25" i="26"/>
  <c r="I29" i="26"/>
  <c r="H48" i="26"/>
  <c r="H47" i="26"/>
  <c r="H49" i="26"/>
  <c r="D11" i="25" l="1"/>
  <c r="K32" i="26"/>
  <c r="J30" i="26"/>
  <c r="L23" i="26"/>
  <c r="J31" i="26"/>
  <c r="J29" i="26"/>
  <c r="I48" i="26"/>
  <c r="I49" i="26"/>
  <c r="I47" i="26"/>
  <c r="L25" i="26"/>
  <c r="K30" i="26" l="1"/>
  <c r="L32" i="26"/>
  <c r="M23" i="26"/>
  <c r="K31" i="26"/>
  <c r="K29" i="26"/>
  <c r="J49" i="26"/>
  <c r="J47" i="26"/>
  <c r="J48" i="26"/>
  <c r="M25" i="26"/>
  <c r="M32" i="26" l="1"/>
  <c r="L30" i="26"/>
  <c r="N23" i="26"/>
  <c r="N25" i="26"/>
  <c r="L29" i="26"/>
  <c r="K47" i="26"/>
  <c r="K49" i="26"/>
  <c r="K48" i="26"/>
  <c r="L31" i="26"/>
  <c r="E11" i="25" l="1"/>
  <c r="D10" i="25"/>
  <c r="M30" i="26"/>
  <c r="N32" i="26"/>
  <c r="M44" i="26" s="1"/>
  <c r="N40" i="26"/>
  <c r="N45" i="26" s="1"/>
  <c r="D40" i="26"/>
  <c r="D45" i="26" s="1"/>
  <c r="B40" i="26"/>
  <c r="B45" i="26" s="1"/>
  <c r="C40" i="26"/>
  <c r="C45" i="26" s="1"/>
  <c r="E40" i="26"/>
  <c r="E45" i="26" s="1"/>
  <c r="F40" i="26"/>
  <c r="F45" i="26" s="1"/>
  <c r="G40" i="26"/>
  <c r="G45" i="26" s="1"/>
  <c r="H40" i="26"/>
  <c r="H45" i="26" s="1"/>
  <c r="I40" i="26"/>
  <c r="I45" i="26" s="1"/>
  <c r="J40" i="26"/>
  <c r="J45" i="26" s="1"/>
  <c r="K40" i="26"/>
  <c r="K45" i="26" s="1"/>
  <c r="L40" i="26"/>
  <c r="L45" i="26" s="1"/>
  <c r="M40" i="26"/>
  <c r="M45" i="26" s="1"/>
  <c r="M29" i="26"/>
  <c r="L49" i="26"/>
  <c r="L47" i="26"/>
  <c r="L48" i="26"/>
  <c r="M31" i="26"/>
  <c r="N44" i="26" l="1"/>
  <c r="B44" i="26"/>
  <c r="C44" i="26"/>
  <c r="E44" i="26"/>
  <c r="D44" i="26"/>
  <c r="F44" i="26"/>
  <c r="G44" i="26"/>
  <c r="H44" i="26"/>
  <c r="I44" i="26"/>
  <c r="J44" i="26"/>
  <c r="K44" i="26"/>
  <c r="L44" i="26"/>
  <c r="N30" i="26"/>
  <c r="D8" i="25"/>
  <c r="N31" i="26"/>
  <c r="M43" i="26" s="1"/>
  <c r="N29" i="26"/>
  <c r="M48" i="26"/>
  <c r="M47" i="26"/>
  <c r="M49" i="26"/>
  <c r="N42" i="26" l="1"/>
  <c r="B42" i="26"/>
  <c r="C42" i="26"/>
  <c r="D42" i="26"/>
  <c r="E42" i="26"/>
  <c r="F42" i="26"/>
  <c r="G42" i="26"/>
  <c r="H42" i="26"/>
  <c r="I42" i="26"/>
  <c r="J42" i="26"/>
  <c r="K42" i="26"/>
  <c r="L42" i="26"/>
  <c r="M42" i="26"/>
  <c r="N41" i="26"/>
  <c r="C41" i="26"/>
  <c r="D41" i="26"/>
  <c r="E41" i="26"/>
  <c r="F41" i="26"/>
  <c r="G41" i="26"/>
  <c r="H41" i="26"/>
  <c r="I41" i="26"/>
  <c r="J41" i="26"/>
  <c r="K41" i="26"/>
  <c r="L41" i="26"/>
  <c r="N43" i="26"/>
  <c r="B43" i="26"/>
  <c r="C43" i="26"/>
  <c r="D43" i="26"/>
  <c r="E43" i="26"/>
  <c r="F43" i="26"/>
  <c r="G43" i="26"/>
  <c r="H43" i="26"/>
  <c r="I43" i="26"/>
  <c r="J43" i="26"/>
  <c r="K43" i="26"/>
  <c r="L43" i="26"/>
  <c r="M41" i="26"/>
  <c r="B41" i="26"/>
  <c r="N49" i="26"/>
  <c r="N48" i="26"/>
  <c r="N47" i="26"/>
  <c r="D7" i="25" l="1"/>
  <c r="E8" i="25"/>
  <c r="E9" i="25"/>
  <c r="E10" i="25"/>
  <c r="D9" i="25"/>
  <c r="B8" i="1" l="1"/>
  <c r="D8" i="1" l="1"/>
  <c r="B17" i="1" l="1"/>
  <c r="B37" i="1" s="1"/>
  <c r="A36" i="26" l="1"/>
  <c r="A37" i="26" s="1"/>
  <c r="G35" i="26" l="1"/>
  <c r="D35" i="26"/>
  <c r="J35" i="26"/>
  <c r="H35" i="26"/>
  <c r="F35" i="26"/>
  <c r="E35" i="26"/>
  <c r="I35" i="26"/>
  <c r="N35" i="26"/>
  <c r="K35" i="26"/>
  <c r="M35" i="26"/>
  <c r="L35" i="26"/>
  <c r="C35" i="26"/>
  <c r="B35" i="26"/>
  <c r="D7" i="1"/>
  <c r="C17" i="1" l="1"/>
  <c r="C37" i="1" l="1"/>
  <c r="D17" i="1"/>
  <c r="D37" i="1" l="1"/>
  <c r="E179" i="27"/>
  <c r="E174" i="27"/>
  <c r="G36" i="23" s="1"/>
  <c r="E120" i="27"/>
  <c r="E267" i="27"/>
  <c r="F10" i="28" s="1"/>
  <c r="E166" i="27"/>
  <c r="F17" i="8" s="1"/>
  <c r="E82" i="27"/>
  <c r="G9" i="28" s="1"/>
  <c r="E215" i="27"/>
  <c r="E263" i="27"/>
  <c r="E198" i="27"/>
  <c r="E124" i="27"/>
  <c r="E307" i="27"/>
  <c r="G11" i="28"/>
  <c r="E266" i="27"/>
  <c r="E129" i="27"/>
  <c r="E134" i="27"/>
  <c r="E66" i="27"/>
  <c r="E162" i="27"/>
  <c r="E212" i="27"/>
  <c r="E272" i="27"/>
  <c r="C443" i="27"/>
  <c r="E303" i="27"/>
  <c r="E234" i="27"/>
  <c r="G24" i="28" s="1"/>
  <c r="E252" i="27"/>
  <c r="E306" i="27"/>
  <c r="E9" i="27"/>
  <c r="E194" i="27"/>
  <c r="E391" i="27"/>
  <c r="E29" i="27"/>
  <c r="E100" i="27"/>
  <c r="E337" i="27"/>
  <c r="E76" i="27"/>
  <c r="E368" i="27"/>
  <c r="E301" i="27"/>
  <c r="E41" i="27"/>
  <c r="F13" i="14" s="1"/>
  <c r="E297" i="27"/>
  <c r="E39" i="27"/>
  <c r="E346" i="27"/>
  <c r="E278" i="27"/>
  <c r="E255" i="27"/>
  <c r="E360" i="27"/>
  <c r="E187" i="27"/>
  <c r="E249" i="27"/>
  <c r="E93" i="27"/>
  <c r="E205" i="27"/>
  <c r="E165" i="27"/>
  <c r="E183" i="27"/>
  <c r="E206" i="27"/>
  <c r="E213" i="27"/>
  <c r="E176" i="27"/>
  <c r="E261" i="27"/>
  <c r="E195" i="27"/>
  <c r="E137" i="27"/>
  <c r="E130" i="27"/>
  <c r="E355" i="27"/>
  <c r="E280" i="27"/>
  <c r="E364" i="27"/>
  <c r="E49" i="27"/>
  <c r="F20" i="17" s="1"/>
  <c r="E403" i="27"/>
  <c r="E245" i="27"/>
  <c r="E115" i="27"/>
  <c r="E79" i="27"/>
  <c r="E344" i="27"/>
  <c r="E423" i="27"/>
  <c r="G15" i="19" s="1"/>
  <c r="E253" i="27"/>
  <c r="E8" i="27"/>
  <c r="E277" i="27"/>
  <c r="E300" i="27"/>
  <c r="E31" i="27"/>
  <c r="F29" i="10" s="1"/>
  <c r="E53" i="27"/>
  <c r="E356" i="27"/>
  <c r="E23" i="27"/>
  <c r="F14" i="19" s="1"/>
  <c r="E323" i="27"/>
  <c r="G38" i="9" s="1"/>
  <c r="E305" i="27"/>
  <c r="E117" i="27"/>
  <c r="E282" i="27"/>
  <c r="E284" i="27"/>
  <c r="E133" i="27"/>
  <c r="E15" i="27"/>
  <c r="G75" i="22" s="1"/>
  <c r="E232" i="27"/>
  <c r="E218" i="27"/>
  <c r="E258" i="27"/>
  <c r="E320" i="27"/>
  <c r="E167" i="27"/>
  <c r="F23" i="8" s="1"/>
  <c r="E410" i="27"/>
  <c r="G23" i="17" s="1"/>
  <c r="E155" i="27"/>
  <c r="E389" i="27"/>
  <c r="E196" i="27"/>
  <c r="F19" i="17" s="1"/>
  <c r="E359" i="27"/>
  <c r="E39" i="13" s="1"/>
  <c r="G39" i="13" s="1"/>
  <c r="H39" i="13" s="1"/>
  <c r="E269" i="27"/>
  <c r="E365" i="27"/>
  <c r="G24" i="14" s="1"/>
  <c r="E190" i="27"/>
  <c r="E55" i="27"/>
  <c r="E203" i="27"/>
  <c r="E52" i="27"/>
  <c r="E393" i="27"/>
  <c r="G39" i="22" s="1"/>
  <c r="E409" i="27"/>
  <c r="E395" i="27"/>
  <c r="G65" i="22" s="1"/>
  <c r="E374" i="27"/>
  <c r="E210" i="27"/>
  <c r="E254" i="27"/>
  <c r="E122" i="27"/>
  <c r="E312" i="27"/>
  <c r="E233" i="27"/>
  <c r="E298" i="27"/>
  <c r="E68" i="27"/>
  <c r="E275" i="27"/>
  <c r="E186" i="27"/>
  <c r="E2" i="27"/>
  <c r="E327" i="27"/>
  <c r="E225" i="27"/>
  <c r="E109" i="27"/>
  <c r="E151" i="27"/>
  <c r="E387" i="27"/>
  <c r="E271" i="27"/>
  <c r="F28" i="15" s="1"/>
  <c r="E201" i="27"/>
  <c r="E246" i="27"/>
  <c r="E333" i="27"/>
  <c r="F12" i="9" s="1"/>
  <c r="E400" i="27"/>
  <c r="G21" i="16" s="1"/>
  <c r="H21" i="16" s="1"/>
  <c r="E291" i="27"/>
  <c r="G19" i="12" s="1"/>
  <c r="E24" i="27"/>
  <c r="E370" i="27"/>
  <c r="E20" i="27"/>
  <c r="E376" i="27"/>
  <c r="E302" i="27"/>
  <c r="E390" i="27"/>
  <c r="E26" i="27"/>
  <c r="F12" i="18" s="1"/>
  <c r="E394" i="27"/>
  <c r="E106" i="27"/>
  <c r="E404" i="27"/>
  <c r="F18" i="16" s="1"/>
  <c r="E422" i="27"/>
  <c r="E294" i="27"/>
  <c r="E378" i="27"/>
  <c r="E413" i="27"/>
  <c r="E314" i="27"/>
  <c r="E308" i="27"/>
  <c r="E75" i="27"/>
  <c r="E112" i="27"/>
  <c r="G27" i="7" s="1"/>
  <c r="E329" i="27"/>
  <c r="E315" i="27"/>
  <c r="E321" i="27"/>
  <c r="E13" i="27"/>
  <c r="F10" i="21" s="1"/>
  <c r="E279" i="27"/>
  <c r="E88" i="27"/>
  <c r="E140" i="27"/>
  <c r="E128" i="27"/>
  <c r="E188" i="27"/>
  <c r="E73" i="27"/>
  <c r="E354" i="27"/>
  <c r="E256" i="27"/>
  <c r="E202" i="27"/>
  <c r="E406" i="27"/>
  <c r="E397" i="27"/>
  <c r="E158" i="27"/>
  <c r="E163" i="27"/>
  <c r="E153" i="27"/>
  <c r="G25" i="10" s="1"/>
  <c r="E142" i="27"/>
  <c r="E420" i="27"/>
  <c r="E348" i="27"/>
  <c r="E276" i="27"/>
  <c r="E411" i="27"/>
  <c r="F32" i="17" s="1"/>
  <c r="E22" i="27"/>
  <c r="E412" i="27"/>
  <c r="E295" i="27"/>
  <c r="E90" i="27"/>
  <c r="G20" i="22" s="1"/>
  <c r="E336" i="27"/>
  <c r="E281" i="27"/>
  <c r="E189" i="27"/>
  <c r="E288" i="27"/>
  <c r="E440" i="27"/>
  <c r="E407" i="27"/>
  <c r="E402" i="27"/>
  <c r="E353" i="27"/>
  <c r="E251" i="27"/>
  <c r="E98" i="27"/>
  <c r="E3" i="27"/>
  <c r="G17" i="7" s="1"/>
  <c r="E435" i="27"/>
  <c r="E371" i="27"/>
  <c r="E21" i="27"/>
  <c r="E228" i="27"/>
  <c r="E415" i="27"/>
  <c r="E287" i="27"/>
  <c r="E427" i="27"/>
  <c r="E152" i="27"/>
  <c r="E89" i="27"/>
  <c r="E84" i="27"/>
  <c r="E209" i="27"/>
  <c r="G13" i="12" s="1"/>
  <c r="E157" i="27"/>
  <c r="E164" i="27"/>
  <c r="E138" i="27"/>
  <c r="E330" i="27"/>
  <c r="E304" i="27"/>
  <c r="E154" i="27"/>
  <c r="E343" i="27"/>
  <c r="E438" i="27"/>
  <c r="E341" i="27"/>
  <c r="E123" i="27"/>
  <c r="E54" i="27"/>
  <c r="E363" i="27"/>
  <c r="E104" i="27"/>
  <c r="F26" i="12" s="1"/>
  <c r="E439" i="27"/>
  <c r="E191" i="27"/>
  <c r="E87" i="27"/>
  <c r="E148" i="27"/>
  <c r="E377" i="27"/>
  <c r="E238" i="27"/>
  <c r="E43" i="27"/>
  <c r="E116" i="27"/>
  <c r="E424" i="27"/>
  <c r="E322" i="27"/>
  <c r="E239" i="27"/>
  <c r="E419" i="27"/>
  <c r="E7" i="27"/>
  <c r="E217" i="27"/>
  <c r="E91" i="27"/>
  <c r="E62" i="27"/>
  <c r="E242" i="27"/>
  <c r="F47" i="19" s="1"/>
  <c r="E349" i="27"/>
  <c r="E367" i="27"/>
  <c r="G22" i="9" s="1"/>
  <c r="E339" i="27"/>
  <c r="E426" i="27"/>
  <c r="F16" i="19" s="1"/>
  <c r="E316" i="27"/>
  <c r="E12" i="27"/>
  <c r="E342" i="27"/>
  <c r="E150" i="27"/>
  <c r="E144" i="27"/>
  <c r="E207" i="27"/>
  <c r="F38" i="22" s="1"/>
  <c r="E126" i="27"/>
  <c r="E430" i="27"/>
  <c r="E125" i="27"/>
  <c r="F21" i="12" s="1"/>
  <c r="E229" i="27"/>
  <c r="E366" i="27"/>
  <c r="E401" i="27"/>
  <c r="E214" i="27"/>
  <c r="E428" i="27"/>
  <c r="E28" i="27"/>
  <c r="E434" i="27"/>
  <c r="E38" i="27"/>
  <c r="F14" i="22" s="1"/>
  <c r="E216" i="27"/>
  <c r="G17" i="9" s="1"/>
  <c r="E286" i="27"/>
  <c r="E432" i="27"/>
  <c r="E386" i="27"/>
  <c r="E161" i="27"/>
  <c r="E332" i="27"/>
  <c r="E119" i="27"/>
  <c r="E372" i="27"/>
  <c r="E350" i="27"/>
  <c r="G14" i="11" s="1"/>
  <c r="E86" i="27"/>
  <c r="E223" i="27"/>
  <c r="E318" i="27"/>
  <c r="E317" i="27"/>
  <c r="F9" i="7" s="1"/>
  <c r="E85" i="27"/>
  <c r="E347" i="27"/>
  <c r="E224" i="27"/>
  <c r="E114" i="27"/>
  <c r="E313" i="27"/>
  <c r="E160" i="27"/>
  <c r="E289" i="27"/>
  <c r="E185" i="27"/>
  <c r="E200" i="27"/>
  <c r="E408" i="27"/>
  <c r="G29" i="17" s="1"/>
  <c r="E437" i="27"/>
  <c r="E379" i="27"/>
  <c r="E384" i="27"/>
  <c r="E95" i="27"/>
  <c r="E97" i="27"/>
  <c r="E373" i="27"/>
  <c r="E375" i="27"/>
  <c r="E181" i="27"/>
  <c r="E204" i="27"/>
  <c r="E110" i="27"/>
  <c r="E270" i="27"/>
  <c r="E425" i="27"/>
  <c r="E61" i="27"/>
  <c r="E35" i="27"/>
  <c r="F42" i="7" s="1"/>
  <c r="E325" i="27"/>
  <c r="E299" i="27"/>
  <c r="E396" i="27"/>
  <c r="E429" i="27"/>
  <c r="E326" i="27"/>
  <c r="E331" i="27"/>
  <c r="E240" i="27"/>
  <c r="E108" i="27"/>
  <c r="E431" i="27"/>
  <c r="E141" i="27"/>
  <c r="E328" i="27"/>
  <c r="F30" i="9" s="1"/>
  <c r="E92" i="27"/>
  <c r="E231" i="27"/>
  <c r="E357" i="27"/>
  <c r="E340" i="27"/>
  <c r="E70" i="27"/>
  <c r="E433" i="27"/>
  <c r="E221" i="27"/>
  <c r="E250" i="27"/>
  <c r="E37" i="27"/>
  <c r="E388" i="27"/>
  <c r="E274" i="27"/>
  <c r="E352" i="27"/>
  <c r="E380" i="27"/>
  <c r="E418" i="27"/>
  <c r="E199" i="27"/>
  <c r="E392" i="27"/>
  <c r="E169" i="27"/>
  <c r="E369" i="27"/>
  <c r="E362" i="27"/>
  <c r="E257" i="27"/>
  <c r="E102" i="27"/>
  <c r="E56" i="27"/>
  <c r="E50" i="27"/>
  <c r="E105" i="27"/>
  <c r="E311" i="27"/>
  <c r="E222" i="27"/>
  <c r="E121" i="27"/>
  <c r="E230" i="27"/>
  <c r="E71" i="27"/>
  <c r="E42" i="27"/>
  <c r="E16" i="27"/>
  <c r="G29" i="9" s="1"/>
  <c r="E293" i="27"/>
  <c r="E46" i="27"/>
  <c r="E139" i="27"/>
  <c r="E324" i="27"/>
  <c r="E113" i="27"/>
  <c r="E180" i="27"/>
  <c r="E220" i="27"/>
  <c r="E99" i="27"/>
  <c r="E351" i="27"/>
  <c r="E18" i="27"/>
  <c r="E147" i="27"/>
  <c r="E40" i="27"/>
  <c r="E51" i="27"/>
  <c r="E227" i="27"/>
  <c r="E358" i="27"/>
  <c r="G29" i="13" s="1"/>
  <c r="E19" i="27"/>
  <c r="E383" i="27"/>
  <c r="E69" i="27"/>
  <c r="E10" i="27"/>
  <c r="E34" i="27"/>
  <c r="E243" i="27"/>
  <c r="E208" i="27"/>
  <c r="E414" i="27"/>
  <c r="E83" i="27"/>
  <c r="E219" i="27"/>
  <c r="E4" i="27"/>
  <c r="E146" i="27"/>
  <c r="E81" i="27"/>
  <c r="E211" i="27"/>
  <c r="G40" i="9" s="1"/>
  <c r="E171" i="27"/>
  <c r="E193" i="27"/>
  <c r="E197" i="27"/>
  <c r="G36" i="9" s="1"/>
  <c r="E399" i="27"/>
  <c r="E338" i="27"/>
  <c r="F23" i="10" s="1"/>
  <c r="E101" i="27"/>
  <c r="E436" i="27"/>
  <c r="E172" i="27"/>
  <c r="E285" i="27"/>
  <c r="E145" i="27"/>
  <c r="G9" i="16" s="1"/>
  <c r="E259" i="27"/>
  <c r="E192" i="27"/>
  <c r="E334" i="27"/>
  <c r="E398" i="27"/>
  <c r="E78" i="27"/>
  <c r="E309" i="27"/>
  <c r="E96" i="27"/>
  <c r="E248" i="27"/>
  <c r="E65" i="27"/>
  <c r="E47" i="27"/>
  <c r="E48" i="27"/>
  <c r="E382" i="27"/>
  <c r="E417" i="27"/>
  <c r="E156" i="27"/>
  <c r="E17" i="27"/>
  <c r="E237" i="27"/>
  <c r="E111" i="27"/>
  <c r="E292" i="27"/>
  <c r="E345" i="27"/>
  <c r="E32" i="27"/>
  <c r="E290" i="27"/>
  <c r="E168" i="27"/>
  <c r="E59" i="27"/>
  <c r="E260" i="27"/>
  <c r="E241" i="27"/>
  <c r="E36" i="27"/>
  <c r="E135" i="27"/>
  <c r="E244" i="27"/>
  <c r="E27" i="27"/>
  <c r="F8" i="15" s="1"/>
  <c r="E184" i="27"/>
  <c r="E132" i="27"/>
  <c r="E335" i="27"/>
  <c r="E173" i="27"/>
  <c r="E107" i="27"/>
  <c r="E58" i="27"/>
  <c r="E118" i="27"/>
  <c r="E178" i="27"/>
  <c r="E94" i="27"/>
  <c r="E170" i="27"/>
  <c r="E149" i="27"/>
  <c r="E405" i="27"/>
  <c r="E310" i="27"/>
  <c r="E421" i="27"/>
  <c r="E131" i="27"/>
  <c r="E63" i="27"/>
  <c r="E127" i="27"/>
  <c r="E385" i="27"/>
  <c r="E236" i="27"/>
  <c r="E177" i="27"/>
  <c r="E361" i="27"/>
  <c r="E5" i="27"/>
  <c r="E57" i="27"/>
  <c r="E416" i="27"/>
  <c r="E441" i="27"/>
  <c r="E14" i="27"/>
  <c r="E45" i="27"/>
  <c r="E72" i="27"/>
  <c r="E74" i="27"/>
  <c r="E283" i="27"/>
  <c r="E182" i="27"/>
  <c r="E235" i="27"/>
  <c r="E103" i="27"/>
  <c r="E143" i="27"/>
  <c r="E247" i="27"/>
  <c r="E60" i="27"/>
  <c r="E175" i="27"/>
  <c r="E6" i="27"/>
  <c r="G31" i="17" l="1"/>
  <c r="E31" i="18"/>
  <c r="F31" i="18" s="1"/>
  <c r="E76" i="22"/>
  <c r="F76" i="22" s="1"/>
  <c r="E46" i="10"/>
  <c r="F46" i="10" s="1"/>
  <c r="E10" i="19"/>
  <c r="F10" i="19" s="1"/>
  <c r="E11" i="7"/>
  <c r="G11" i="7" s="1"/>
  <c r="H11" i="7" s="1"/>
  <c r="E20" i="8"/>
  <c r="F20" i="8" s="1"/>
  <c r="E10" i="20"/>
  <c r="F10" i="20" s="1"/>
  <c r="E11" i="13"/>
  <c r="F11" i="13" s="1"/>
  <c r="E31" i="22"/>
  <c r="F31" i="22" s="1"/>
  <c r="E19" i="15"/>
  <c r="F19" i="15" s="1"/>
  <c r="F21" i="16"/>
  <c r="E11" i="16"/>
  <c r="F11" i="16" s="1"/>
  <c r="G43" i="7"/>
  <c r="F43" i="7"/>
  <c r="F19" i="11"/>
  <c r="E13" i="10"/>
  <c r="F13" i="10" s="1"/>
  <c r="E43" i="9"/>
  <c r="G43" i="9" s="1"/>
  <c r="H43" i="9" s="1"/>
  <c r="E15" i="9"/>
  <c r="F15" i="9" s="1"/>
  <c r="E31" i="8"/>
  <c r="F31" i="8" s="1"/>
  <c r="F29" i="9"/>
  <c r="F32" i="11"/>
  <c r="F15" i="19"/>
  <c r="F18" i="22"/>
  <c r="E21" i="22"/>
  <c r="G21" i="22" s="1"/>
  <c r="H21" i="22" s="1"/>
  <c r="E19" i="28"/>
  <c r="G19" i="28" s="1"/>
  <c r="H19" i="28" s="1"/>
  <c r="F71" i="22"/>
  <c r="G71" i="22"/>
  <c r="G24" i="17"/>
  <c r="F24" i="17"/>
  <c r="F37" i="8"/>
  <c r="G37" i="8"/>
  <c r="F8" i="14"/>
  <c r="G8" i="14"/>
  <c r="H8" i="14" s="1"/>
  <c r="G47" i="22"/>
  <c r="F47" i="22"/>
  <c r="F14" i="21"/>
  <c r="G14" i="21"/>
  <c r="E19" i="16"/>
  <c r="F19" i="16" s="1"/>
  <c r="F28" i="11"/>
  <c r="F29" i="17"/>
  <c r="F14" i="11"/>
  <c r="G13" i="14"/>
  <c r="E14" i="12"/>
  <c r="E34" i="11"/>
  <c r="G34" i="11" s="1"/>
  <c r="H34" i="11" s="1"/>
  <c r="F75" i="22"/>
  <c r="G27" i="15"/>
  <c r="F27" i="15"/>
  <c r="E35" i="15"/>
  <c r="G35" i="7"/>
  <c r="F35" i="7"/>
  <c r="F59" i="22"/>
  <c r="G59" i="22"/>
  <c r="G8" i="17"/>
  <c r="F8" i="17"/>
  <c r="G48" i="10"/>
  <c r="F48" i="10"/>
  <c r="E50" i="10"/>
  <c r="G38" i="11"/>
  <c r="F38" i="11"/>
  <c r="E42" i="11"/>
  <c r="G43" i="19"/>
  <c r="F43" i="19"/>
  <c r="E49" i="19"/>
  <c r="E66" i="22"/>
  <c r="F8" i="22"/>
  <c r="G8" i="22"/>
  <c r="E9" i="22"/>
  <c r="F8" i="28"/>
  <c r="G8" i="28"/>
  <c r="E14" i="28"/>
  <c r="G14" i="28" s="1"/>
  <c r="H14" i="28" s="1"/>
  <c r="G26" i="21"/>
  <c r="F26" i="21"/>
  <c r="F25" i="12"/>
  <c r="G25" i="12"/>
  <c r="E28" i="12"/>
  <c r="F16" i="18"/>
  <c r="G16" i="18"/>
  <c r="E19" i="18"/>
  <c r="G68" i="22"/>
  <c r="F68" i="22"/>
  <c r="E72" i="22"/>
  <c r="G32" i="21"/>
  <c r="F32" i="21"/>
  <c r="F31" i="14"/>
  <c r="G31" i="14"/>
  <c r="G15" i="23"/>
  <c r="F15" i="23"/>
  <c r="E42" i="28"/>
  <c r="F23" i="16"/>
  <c r="G23" i="16"/>
  <c r="E31" i="16"/>
  <c r="F27" i="9"/>
  <c r="G27" i="9"/>
  <c r="G14" i="18"/>
  <c r="H14" i="18" s="1"/>
  <c r="F14" i="18"/>
  <c r="F17" i="10"/>
  <c r="E19" i="10"/>
  <c r="G17" i="10"/>
  <c r="F34" i="12"/>
  <c r="G34" i="12"/>
  <c r="H34" i="12" s="1"/>
  <c r="F21" i="18"/>
  <c r="G21" i="18"/>
  <c r="H21" i="18" s="1"/>
  <c r="F29" i="21"/>
  <c r="G29" i="21"/>
  <c r="G25" i="7"/>
  <c r="F25" i="7"/>
  <c r="G18" i="17"/>
  <c r="F18" i="17"/>
  <c r="H49" i="23"/>
  <c r="F31" i="11"/>
  <c r="F10" i="15"/>
  <c r="G10" i="15"/>
  <c r="H10" i="15" s="1"/>
  <c r="F36" i="7"/>
  <c r="G36" i="7"/>
  <c r="F24" i="20"/>
  <c r="G24" i="20"/>
  <c r="E28" i="20"/>
  <c r="F24" i="22"/>
  <c r="G24" i="22"/>
  <c r="F29" i="13"/>
  <c r="G17" i="22"/>
  <c r="F17" i="22"/>
  <c r="F22" i="14"/>
  <c r="G22" i="14"/>
  <c r="E27" i="14"/>
  <c r="F8" i="23"/>
  <c r="G8" i="23"/>
  <c r="E10" i="23"/>
  <c r="G29" i="14"/>
  <c r="F29" i="14"/>
  <c r="E40" i="14"/>
  <c r="G28" i="13"/>
  <c r="F28" i="13"/>
  <c r="G15" i="7"/>
  <c r="F15" i="7"/>
  <c r="F43" i="23"/>
  <c r="E45" i="23"/>
  <c r="G43" i="23"/>
  <c r="G27" i="19"/>
  <c r="F27" i="19"/>
  <c r="F25" i="18"/>
  <c r="G25" i="18"/>
  <c r="H25" i="18" s="1"/>
  <c r="G42" i="7"/>
  <c r="F30" i="11"/>
  <c r="F41" i="7"/>
  <c r="G41" i="7"/>
  <c r="E46" i="7"/>
  <c r="G12" i="19"/>
  <c r="G21" i="19"/>
  <c r="H21" i="19" s="1"/>
  <c r="G28" i="22"/>
  <c r="F28" i="22"/>
  <c r="F34" i="7"/>
  <c r="G34" i="7"/>
  <c r="E40" i="7"/>
  <c r="G8" i="11"/>
  <c r="F8" i="11"/>
  <c r="F28" i="17"/>
  <c r="G28" i="17"/>
  <c r="E35" i="17"/>
  <c r="G8" i="8"/>
  <c r="F8" i="8"/>
  <c r="E14" i="8"/>
  <c r="F13" i="7"/>
  <c r="G13" i="7"/>
  <c r="G21" i="10"/>
  <c r="F21" i="10"/>
  <c r="E26" i="10"/>
  <c r="G39" i="14"/>
  <c r="F39" i="14"/>
  <c r="G18" i="19"/>
  <c r="F18" i="19"/>
  <c r="G17" i="19"/>
  <c r="F17" i="19"/>
  <c r="F30" i="17"/>
  <c r="G30" i="17"/>
  <c r="G33" i="22"/>
  <c r="F33" i="22"/>
  <c r="G30" i="20"/>
  <c r="F30" i="20"/>
  <c r="E35" i="20"/>
  <c r="G33" i="18"/>
  <c r="F33" i="18"/>
  <c r="E35" i="18"/>
  <c r="F43" i="18"/>
  <c r="G43" i="18"/>
  <c r="E44" i="18"/>
  <c r="G22" i="12"/>
  <c r="F22" i="12"/>
  <c r="F29" i="19"/>
  <c r="G29" i="19"/>
  <c r="G12" i="20"/>
  <c r="F12" i="20"/>
  <c r="E14" i="20"/>
  <c r="G16" i="14"/>
  <c r="F16" i="14"/>
  <c r="F34" i="10"/>
  <c r="G34" i="10"/>
  <c r="E36" i="10"/>
  <c r="F32" i="19"/>
  <c r="G32" i="19"/>
  <c r="G13" i="11"/>
  <c r="F13" i="11"/>
  <c r="F12" i="10"/>
  <c r="G12" i="10"/>
  <c r="G26" i="7"/>
  <c r="F26" i="7"/>
  <c r="E39" i="21"/>
  <c r="G33" i="21"/>
  <c r="F33" i="21"/>
  <c r="F9" i="16"/>
  <c r="F12" i="23"/>
  <c r="G12" i="23"/>
  <c r="E21" i="23"/>
  <c r="F40" i="9"/>
  <c r="F40" i="22"/>
  <c r="G40" i="22"/>
  <c r="G16" i="20"/>
  <c r="F16" i="20"/>
  <c r="E22" i="20"/>
  <c r="F48" i="22"/>
  <c r="G48" i="22"/>
  <c r="G17" i="14"/>
  <c r="F17" i="14"/>
  <c r="F13" i="22"/>
  <c r="G13" i="22"/>
  <c r="F36" i="21"/>
  <c r="G36" i="21"/>
  <c r="G8" i="21"/>
  <c r="F8" i="21"/>
  <c r="E16" i="21"/>
  <c r="G8" i="7"/>
  <c r="F8" i="7"/>
  <c r="F11" i="7" s="1"/>
  <c r="G8" i="16"/>
  <c r="F8" i="16"/>
  <c r="F46" i="18"/>
  <c r="G46" i="18"/>
  <c r="H46" i="18" s="1"/>
  <c r="G8" i="18"/>
  <c r="F8" i="18"/>
  <c r="G8" i="9"/>
  <c r="F8" i="9"/>
  <c r="G35" i="9"/>
  <c r="F35" i="9"/>
  <c r="F43" i="13"/>
  <c r="G43" i="13"/>
  <c r="F16" i="12"/>
  <c r="G16" i="12"/>
  <c r="E10" i="11"/>
  <c r="G23" i="15"/>
  <c r="F23" i="15"/>
  <c r="G8" i="15"/>
  <c r="H8" i="15" s="1"/>
  <c r="F24" i="7"/>
  <c r="G24" i="7"/>
  <c r="G45" i="22"/>
  <c r="F45" i="22"/>
  <c r="E56" i="22"/>
  <c r="G12" i="11"/>
  <c r="F12" i="11"/>
  <c r="E16" i="11"/>
  <c r="F12" i="19"/>
  <c r="F12" i="22"/>
  <c r="G12" i="22"/>
  <c r="E33" i="9"/>
  <c r="F38" i="19"/>
  <c r="G38" i="19"/>
  <c r="F51" i="19"/>
  <c r="G51" i="19"/>
  <c r="E53" i="19"/>
  <c r="F18" i="11"/>
  <c r="G22" i="13"/>
  <c r="F22" i="13"/>
  <c r="G15" i="16"/>
  <c r="F15" i="16"/>
  <c r="F22" i="11"/>
  <c r="G21" i="9"/>
  <c r="F21" i="9"/>
  <c r="G18" i="14"/>
  <c r="F18" i="14"/>
  <c r="F29" i="11"/>
  <c r="F36" i="9"/>
  <c r="G28" i="9"/>
  <c r="F28" i="9"/>
  <c r="E41" i="19"/>
  <c r="E25" i="15"/>
  <c r="G55" i="22"/>
  <c r="F55" i="22"/>
  <c r="G33" i="20"/>
  <c r="F33" i="20"/>
  <c r="E25" i="9"/>
  <c r="G74" i="22"/>
  <c r="F74" i="22"/>
  <c r="F26" i="13"/>
  <c r="G26" i="13"/>
  <c r="E31" i="13"/>
  <c r="F18" i="21"/>
  <c r="G18" i="21"/>
  <c r="E22" i="21"/>
  <c r="G8" i="10"/>
  <c r="F8" i="10"/>
  <c r="G8" i="19"/>
  <c r="F8" i="19"/>
  <c r="F28" i="10"/>
  <c r="G28" i="10"/>
  <c r="E32" i="10"/>
  <c r="G8" i="20"/>
  <c r="F8" i="20"/>
  <c r="G8" i="13"/>
  <c r="F8" i="13"/>
  <c r="G8" i="12"/>
  <c r="F8" i="12"/>
  <c r="E45" i="13"/>
  <c r="G22" i="8"/>
  <c r="F22" i="8"/>
  <c r="E25" i="8"/>
  <c r="F58" i="22"/>
  <c r="G58" i="22"/>
  <c r="E23" i="12"/>
  <c r="G70" i="22"/>
  <c r="F70" i="22"/>
  <c r="F21" i="11"/>
  <c r="G14" i="16"/>
  <c r="F14" i="16"/>
  <c r="G23" i="19"/>
  <c r="F23" i="19"/>
  <c r="E30" i="19"/>
  <c r="F13" i="13"/>
  <c r="G13" i="13"/>
  <c r="E19" i="13"/>
  <c r="F37" i="18"/>
  <c r="G37" i="18"/>
  <c r="H37" i="18" s="1"/>
  <c r="F9" i="9"/>
  <c r="G9" i="9"/>
  <c r="G11" i="10"/>
  <c r="F11" i="10"/>
  <c r="F18" i="23"/>
  <c r="G18" i="23"/>
  <c r="F23" i="22"/>
  <c r="G23" i="22"/>
  <c r="E26" i="22"/>
  <c r="F9" i="12"/>
  <c r="G9" i="12"/>
  <c r="F45" i="19"/>
  <c r="G45" i="19"/>
  <c r="F11" i="21"/>
  <c r="G11" i="21"/>
  <c r="E20" i="14"/>
  <c r="G23" i="10"/>
  <c r="F16" i="22"/>
  <c r="G16" i="22"/>
  <c r="G25" i="22"/>
  <c r="F25" i="22"/>
  <c r="E26" i="17"/>
  <c r="F17" i="23"/>
  <c r="G17" i="23"/>
  <c r="G13" i="21"/>
  <c r="F13" i="21"/>
  <c r="F15" i="15"/>
  <c r="G15" i="15"/>
  <c r="H15" i="15" s="1"/>
  <c r="G31" i="15"/>
  <c r="F31" i="15"/>
  <c r="G27" i="20"/>
  <c r="F27" i="20"/>
  <c r="F12" i="14"/>
  <c r="G12" i="14"/>
  <c r="G37" i="22"/>
  <c r="F37" i="22"/>
  <c r="F11" i="9"/>
  <c r="G11" i="9"/>
  <c r="G23" i="18"/>
  <c r="H23" i="18" s="1"/>
  <c r="F23" i="18"/>
  <c r="G18" i="7"/>
  <c r="F18" i="7"/>
  <c r="F17" i="20"/>
  <c r="G17" i="20"/>
  <c r="G29" i="15"/>
  <c r="F29" i="15"/>
  <c r="G21" i="17"/>
  <c r="F21" i="17"/>
  <c r="F36" i="19"/>
  <c r="G36" i="19"/>
  <c r="F27" i="12"/>
  <c r="G27" i="12"/>
  <c r="F24" i="19"/>
  <c r="G24" i="19"/>
  <c r="F39" i="19"/>
  <c r="G39" i="19"/>
  <c r="G10" i="17"/>
  <c r="F10" i="17"/>
  <c r="F10" i="16"/>
  <c r="G10" i="16"/>
  <c r="F9" i="17"/>
  <c r="G9" i="17"/>
  <c r="F34" i="22"/>
  <c r="G34" i="22"/>
  <c r="F35" i="10"/>
  <c r="G35" i="10"/>
  <c r="G30" i="9"/>
  <c r="F21" i="21"/>
  <c r="G21" i="21"/>
  <c r="G9" i="21"/>
  <c r="F9" i="21"/>
  <c r="F14" i="7"/>
  <c r="G14" i="7"/>
  <c r="G20" i="23"/>
  <c r="F20" i="23"/>
  <c r="G44" i="23"/>
  <c r="F44" i="23"/>
  <c r="F32" i="20"/>
  <c r="G32" i="20"/>
  <c r="G30" i="10"/>
  <c r="F30" i="10"/>
  <c r="G33" i="23"/>
  <c r="F33" i="23"/>
  <c r="F9" i="20"/>
  <c r="G9" i="20"/>
  <c r="G34" i="15"/>
  <c r="F34" i="15"/>
  <c r="F42" i="9"/>
  <c r="G42" i="9"/>
  <c r="F10" i="12"/>
  <c r="G10" i="12"/>
  <c r="F28" i="21"/>
  <c r="G28" i="21"/>
  <c r="E30" i="21"/>
  <c r="G13" i="16"/>
  <c r="F13" i="16"/>
  <c r="G52" i="22"/>
  <c r="F52" i="22"/>
  <c r="F33" i="17"/>
  <c r="G33" i="17"/>
  <c r="F41" i="13"/>
  <c r="G41" i="13"/>
  <c r="H41" i="13" s="1"/>
  <c r="G13" i="19"/>
  <c r="F13" i="19"/>
  <c r="F33" i="8"/>
  <c r="G33" i="8"/>
  <c r="F21" i="13"/>
  <c r="E24" i="13"/>
  <c r="G21" i="13"/>
  <c r="F18" i="10"/>
  <c r="G18" i="10"/>
  <c r="E38" i="8"/>
  <c r="G24" i="9"/>
  <c r="F24" i="9"/>
  <c r="F19" i="21"/>
  <c r="G19" i="21"/>
  <c r="G39" i="9"/>
  <c r="F39" i="9"/>
  <c r="G17" i="15"/>
  <c r="F17" i="15"/>
  <c r="F30" i="15"/>
  <c r="G30" i="15"/>
  <c r="G18" i="12"/>
  <c r="F18" i="12"/>
  <c r="F34" i="19"/>
  <c r="G34" i="19"/>
  <c r="F39" i="7"/>
  <c r="G39" i="7"/>
  <c r="G37" i="9"/>
  <c r="F37" i="9"/>
  <c r="F24" i="11"/>
  <c r="F45" i="7"/>
  <c r="G45" i="7"/>
  <c r="G12" i="17"/>
  <c r="F12" i="17"/>
  <c r="G37" i="7"/>
  <c r="F37" i="7"/>
  <c r="F25" i="11"/>
  <c r="F20" i="9"/>
  <c r="G20" i="9"/>
  <c r="F27" i="11"/>
  <c r="F10" i="14"/>
  <c r="G10" i="14"/>
  <c r="H10" i="14" s="1"/>
  <c r="F48" i="19"/>
  <c r="G48" i="19"/>
  <c r="G23" i="13"/>
  <c r="F23" i="13"/>
  <c r="G22" i="10"/>
  <c r="F22" i="10"/>
  <c r="G14" i="17"/>
  <c r="F14" i="17"/>
  <c r="G24" i="15"/>
  <c r="F24" i="15"/>
  <c r="G13" i="17"/>
  <c r="F13" i="17"/>
  <c r="G16" i="8"/>
  <c r="F16" i="8"/>
  <c r="G11" i="17"/>
  <c r="F11" i="17"/>
  <c r="E14" i="14"/>
  <c r="G69" i="22"/>
  <c r="F69" i="22"/>
  <c r="F19" i="20"/>
  <c r="G19" i="20"/>
  <c r="G9" i="7"/>
  <c r="F28" i="19"/>
  <c r="G28" i="19"/>
  <c r="F31" i="10"/>
  <c r="G31" i="10"/>
  <c r="G24" i="10"/>
  <c r="F24" i="10"/>
  <c r="F39" i="11"/>
  <c r="G39" i="11"/>
  <c r="F37" i="21"/>
  <c r="G37" i="21"/>
  <c r="G18" i="20"/>
  <c r="F18" i="20"/>
  <c r="F49" i="10"/>
  <c r="G49" i="10"/>
  <c r="F35" i="22"/>
  <c r="G35" i="22"/>
  <c r="F21" i="20"/>
  <c r="G21" i="20"/>
  <c r="G35" i="8"/>
  <c r="F35" i="8"/>
  <c r="F33" i="15"/>
  <c r="G33" i="15"/>
  <c r="F37" i="19"/>
  <c r="G37" i="19"/>
  <c r="F53" i="22"/>
  <c r="G53" i="22"/>
  <c r="F13" i="20"/>
  <c r="G13" i="20"/>
  <c r="F30" i="7"/>
  <c r="G30" i="7"/>
  <c r="F23" i="11"/>
  <c r="G38" i="22"/>
  <c r="G16" i="19"/>
  <c r="F17" i="7"/>
  <c r="G21" i="28"/>
  <c r="F21" i="28"/>
  <c r="E29" i="28"/>
  <c r="F14" i="13"/>
  <c r="G14" i="13"/>
  <c r="G28" i="7"/>
  <c r="F28" i="7"/>
  <c r="G13" i="9"/>
  <c r="F13" i="9"/>
  <c r="G61" i="22"/>
  <c r="F61" i="22"/>
  <c r="G36" i="22"/>
  <c r="F36" i="22"/>
  <c r="G41" i="22"/>
  <c r="F41" i="22"/>
  <c r="G28" i="15"/>
  <c r="G12" i="9"/>
  <c r="F23" i="9"/>
  <c r="G23" i="9"/>
  <c r="G18" i="8"/>
  <c r="F18" i="8"/>
  <c r="G13" i="23"/>
  <c r="F13" i="23"/>
  <c r="G47" i="19"/>
  <c r="F13" i="8"/>
  <c r="G13" i="8"/>
  <c r="G20" i="21"/>
  <c r="F20" i="21"/>
  <c r="G29" i="7"/>
  <c r="F29" i="7"/>
  <c r="F10" i="10"/>
  <c r="G10" i="10"/>
  <c r="G30" i="12"/>
  <c r="F30" i="12"/>
  <c r="F32" i="12" s="1"/>
  <c r="F29" i="22"/>
  <c r="G29" i="22"/>
  <c r="G14" i="22"/>
  <c r="G21" i="12"/>
  <c r="F12" i="12"/>
  <c r="G12" i="12"/>
  <c r="F17" i="16"/>
  <c r="G17" i="16"/>
  <c r="F46" i="19"/>
  <c r="G46" i="19"/>
  <c r="F34" i="21"/>
  <c r="G34" i="21"/>
  <c r="G24" i="8"/>
  <c r="F24" i="8"/>
  <c r="G10" i="21"/>
  <c r="F27" i="7"/>
  <c r="G25" i="17"/>
  <c r="F25" i="17"/>
  <c r="G12" i="18"/>
  <c r="H12" i="18" s="1"/>
  <c r="F28" i="23"/>
  <c r="G28" i="23"/>
  <c r="G32" i="17"/>
  <c r="G15" i="22"/>
  <c r="F15" i="22"/>
  <c r="F36" i="11"/>
  <c r="G36" i="11"/>
  <c r="H36" i="11" s="1"/>
  <c r="G18" i="16"/>
  <c r="G32" i="9"/>
  <c r="F32" i="9"/>
  <c r="F44" i="13"/>
  <c r="G44" i="13"/>
  <c r="F13" i="12"/>
  <c r="G44" i="19"/>
  <c r="F44" i="19"/>
  <c r="G41" i="9"/>
  <c r="F41" i="9"/>
  <c r="G12" i="21"/>
  <c r="F12" i="21"/>
  <c r="G31" i="9"/>
  <c r="F31" i="9"/>
  <c r="G38" i="21"/>
  <c r="F38" i="21"/>
  <c r="F22" i="9"/>
  <c r="G10" i="8"/>
  <c r="F10" i="8"/>
  <c r="F20" i="22"/>
  <c r="G9" i="10"/>
  <c r="F9" i="10"/>
  <c r="G26" i="20"/>
  <c r="F26" i="20"/>
  <c r="G25" i="19"/>
  <c r="F25" i="19"/>
  <c r="G46" i="22"/>
  <c r="F46" i="22"/>
  <c r="F38" i="7"/>
  <c r="G38" i="7"/>
  <c r="F25" i="10"/>
  <c r="G19" i="23"/>
  <c r="F19" i="23"/>
  <c r="G15" i="10"/>
  <c r="H15" i="10" s="1"/>
  <c r="F15" i="10"/>
  <c r="F39" i="18"/>
  <c r="G39" i="18"/>
  <c r="E41" i="18"/>
  <c r="G20" i="12"/>
  <c r="F20" i="12"/>
  <c r="F19" i="7"/>
  <c r="G19" i="7"/>
  <c r="G18" i="9"/>
  <c r="F18" i="9"/>
  <c r="F21" i="15"/>
  <c r="G21" i="15"/>
  <c r="H21" i="15" s="1"/>
  <c r="F33" i="19"/>
  <c r="G33" i="19"/>
  <c r="F35" i="19"/>
  <c r="G35" i="19"/>
  <c r="F50" i="22"/>
  <c r="G50" i="22"/>
  <c r="G19" i="14"/>
  <c r="F19" i="14"/>
  <c r="F35" i="21"/>
  <c r="G35" i="21"/>
  <c r="G31" i="20"/>
  <c r="F31" i="20"/>
  <c r="F16" i="16"/>
  <c r="G16" i="16"/>
  <c r="F26" i="11"/>
  <c r="F19" i="22"/>
  <c r="G19" i="22"/>
  <c r="F11" i="12"/>
  <c r="G11" i="12"/>
  <c r="G19" i="9"/>
  <c r="F19" i="9"/>
  <c r="G44" i="7"/>
  <c r="F44" i="7"/>
  <c r="G63" i="22"/>
  <c r="F63" i="22"/>
  <c r="F17" i="9"/>
  <c r="F32" i="15"/>
  <c r="G32" i="15"/>
  <c r="F30" i="14"/>
  <c r="G30" i="14"/>
  <c r="G26" i="12"/>
  <c r="G25" i="20"/>
  <c r="F25" i="20"/>
  <c r="F15" i="21"/>
  <c r="G15" i="21"/>
  <c r="F49" i="22"/>
  <c r="G49" i="22"/>
  <c r="F27" i="16"/>
  <c r="G27" i="16"/>
  <c r="G29" i="16"/>
  <c r="F29" i="16"/>
  <c r="G18" i="18"/>
  <c r="F18" i="18"/>
  <c r="F19" i="12"/>
  <c r="F25" i="23"/>
  <c r="G25" i="23"/>
  <c r="F39" i="22"/>
  <c r="G9" i="13"/>
  <c r="F9" i="13"/>
  <c r="F9" i="19"/>
  <c r="G9" i="19"/>
  <c r="G37" i="23"/>
  <c r="F37" i="23"/>
  <c r="G19" i="17"/>
  <c r="G9" i="23"/>
  <c r="F9" i="23"/>
  <c r="F54" i="22"/>
  <c r="G54" i="22"/>
  <c r="F31" i="17"/>
  <c r="G18" i="22"/>
  <c r="F24" i="14"/>
  <c r="F23" i="17"/>
  <c r="G23" i="8"/>
  <c r="F26" i="23"/>
  <c r="G26" i="23"/>
  <c r="F20" i="11"/>
  <c r="F65" i="22"/>
  <c r="G26" i="16"/>
  <c r="F26" i="16"/>
  <c r="F36" i="8"/>
  <c r="G36" i="8"/>
  <c r="G26" i="14"/>
  <c r="F26" i="14"/>
  <c r="F64" i="22"/>
  <c r="G64" i="22"/>
  <c r="G20" i="17"/>
  <c r="F12" i="8"/>
  <c r="G12" i="8"/>
  <c r="F17" i="12"/>
  <c r="G17" i="12"/>
  <c r="F22" i="17"/>
  <c r="G22" i="17"/>
  <c r="G28" i="16"/>
  <c r="F28" i="16"/>
  <c r="G34" i="23"/>
  <c r="F34" i="23"/>
  <c r="G27" i="13"/>
  <c r="F27" i="13"/>
  <c r="F20" i="20"/>
  <c r="G20" i="20"/>
  <c r="G34" i="8"/>
  <c r="F34" i="8"/>
  <c r="G24" i="16"/>
  <c r="F24" i="16"/>
  <c r="G29" i="10"/>
  <c r="G30" i="16"/>
  <c r="F30" i="16"/>
  <c r="G23" i="14"/>
  <c r="F23" i="14"/>
  <c r="F26" i="19"/>
  <c r="G26" i="19"/>
  <c r="F37" i="13"/>
  <c r="F39" i="13" s="1"/>
  <c r="G37" i="13"/>
  <c r="G60" i="22"/>
  <c r="F60" i="22"/>
  <c r="F17" i="18"/>
  <c r="G17" i="18"/>
  <c r="G33" i="13"/>
  <c r="F33" i="13"/>
  <c r="E35" i="13"/>
  <c r="G25" i="14"/>
  <c r="F25" i="14"/>
  <c r="F15" i="13"/>
  <c r="G15" i="13"/>
  <c r="G14" i="19"/>
  <c r="F38" i="9"/>
  <c r="F14" i="23"/>
  <c r="G14" i="23"/>
  <c r="F11" i="8"/>
  <c r="G11" i="8"/>
  <c r="G24" i="23"/>
  <c r="F24" i="23"/>
  <c r="F27" i="23"/>
  <c r="G27" i="23"/>
  <c r="F62" i="22"/>
  <c r="G62" i="22"/>
  <c r="F25" i="16"/>
  <c r="G25" i="16"/>
  <c r="G30" i="23"/>
  <c r="F30" i="23"/>
  <c r="G35" i="23"/>
  <c r="F35" i="23"/>
  <c r="G19" i="8"/>
  <c r="F19" i="8"/>
  <c r="G29" i="23"/>
  <c r="F29" i="23"/>
  <c r="G18" i="28"/>
  <c r="F18" i="28"/>
  <c r="G16" i="28"/>
  <c r="F16" i="28"/>
  <c r="G17" i="13"/>
  <c r="F17" i="13"/>
  <c r="F23" i="23"/>
  <c r="G23" i="23"/>
  <c r="G16" i="13"/>
  <c r="F16" i="13"/>
  <c r="F31" i="23"/>
  <c r="G31" i="23"/>
  <c r="G32" i="23"/>
  <c r="F32" i="23"/>
  <c r="F28" i="28"/>
  <c r="G28" i="28"/>
  <c r="G40" i="11"/>
  <c r="F40" i="11"/>
  <c r="G52" i="19"/>
  <c r="F52" i="19"/>
  <c r="F17" i="28"/>
  <c r="G17" i="28"/>
  <c r="E443" i="27"/>
  <c r="F31" i="28"/>
  <c r="G31" i="28"/>
  <c r="H31" i="28" s="1"/>
  <c r="F38" i="23"/>
  <c r="G38" i="23"/>
  <c r="F23" i="28"/>
  <c r="G23" i="28"/>
  <c r="E41" i="23"/>
  <c r="G41" i="23" s="1"/>
  <c r="H41" i="23" s="1"/>
  <c r="F22" i="28"/>
  <c r="G22" i="28"/>
  <c r="G18" i="15"/>
  <c r="F18" i="15"/>
  <c r="G26" i="28"/>
  <c r="F26" i="28"/>
  <c r="G27" i="28"/>
  <c r="F27" i="28"/>
  <c r="G25" i="28"/>
  <c r="F25" i="28"/>
  <c r="F9" i="28"/>
  <c r="G10" i="28"/>
  <c r="F24" i="28"/>
  <c r="F11" i="28"/>
  <c r="G17" i="8"/>
  <c r="F36" i="23"/>
  <c r="E51" i="23" l="1"/>
  <c r="G14" i="12"/>
  <c r="H14" i="12" s="1"/>
  <c r="E48" i="18"/>
  <c r="G48" i="18" s="1"/>
  <c r="E43" i="21"/>
  <c r="G43" i="21" s="1"/>
  <c r="E41" i="21"/>
  <c r="F21" i="19"/>
  <c r="E44" i="11"/>
  <c r="E47" i="11" s="1"/>
  <c r="G46" i="10"/>
  <c r="H46" i="10" s="1"/>
  <c r="G20" i="8"/>
  <c r="H20" i="8" s="1"/>
  <c r="G31" i="18"/>
  <c r="H31" i="18" s="1"/>
  <c r="G10" i="20"/>
  <c r="H10" i="20" s="1"/>
  <c r="G11" i="13"/>
  <c r="H11" i="13" s="1"/>
  <c r="G10" i="19"/>
  <c r="H10" i="19" s="1"/>
  <c r="G76" i="22"/>
  <c r="H76" i="22" s="1"/>
  <c r="G15" i="9"/>
  <c r="H15" i="9" s="1"/>
  <c r="G19" i="15"/>
  <c r="H19" i="15" s="1"/>
  <c r="F21" i="22"/>
  <c r="G13" i="10"/>
  <c r="H13" i="10" s="1"/>
  <c r="F34" i="11"/>
  <c r="G31" i="22"/>
  <c r="H31" i="22" s="1"/>
  <c r="F19" i="28"/>
  <c r="E33" i="16"/>
  <c r="F33" i="16" s="1"/>
  <c r="G11" i="16"/>
  <c r="H11" i="16" s="1"/>
  <c r="E45" i="9"/>
  <c r="E10" i="1" s="1"/>
  <c r="G31" i="8"/>
  <c r="H31" i="8" s="1"/>
  <c r="F14" i="12"/>
  <c r="G19" i="16"/>
  <c r="H19" i="16" s="1"/>
  <c r="F43" i="9"/>
  <c r="E37" i="20"/>
  <c r="G37" i="20" s="1"/>
  <c r="F29" i="28"/>
  <c r="G29" i="28"/>
  <c r="H29" i="28" s="1"/>
  <c r="G26" i="17"/>
  <c r="H26" i="17" s="1"/>
  <c r="F26" i="17"/>
  <c r="F19" i="13"/>
  <c r="G19" i="13"/>
  <c r="H19" i="13" s="1"/>
  <c r="F23" i="12"/>
  <c r="G23" i="12"/>
  <c r="H23" i="12" s="1"/>
  <c r="F22" i="21"/>
  <c r="G22" i="21"/>
  <c r="H22" i="21" s="1"/>
  <c r="G25" i="15"/>
  <c r="H25" i="15" s="1"/>
  <c r="F25" i="15"/>
  <c r="E55" i="19"/>
  <c r="E57" i="19" s="1"/>
  <c r="G57" i="19" s="1"/>
  <c r="F53" i="19"/>
  <c r="G53" i="19"/>
  <c r="H53" i="19" s="1"/>
  <c r="F16" i="11"/>
  <c r="G16" i="11"/>
  <c r="H16" i="11" s="1"/>
  <c r="F10" i="11"/>
  <c r="G10" i="11"/>
  <c r="H10" i="11" s="1"/>
  <c r="F16" i="21"/>
  <c r="G16" i="21"/>
  <c r="F39" i="21"/>
  <c r="G39" i="21"/>
  <c r="H39" i="21" s="1"/>
  <c r="F35" i="18"/>
  <c r="G35" i="18"/>
  <c r="H35" i="18" s="1"/>
  <c r="F22" i="7"/>
  <c r="G22" i="7"/>
  <c r="H22" i="7" s="1"/>
  <c r="G35" i="17"/>
  <c r="H35" i="17" s="1"/>
  <c r="F35" i="17"/>
  <c r="G50" i="10"/>
  <c r="H50" i="10" s="1"/>
  <c r="F50" i="10"/>
  <c r="E52" i="10"/>
  <c r="E54" i="10" s="1"/>
  <c r="G54" i="10" s="1"/>
  <c r="F41" i="23"/>
  <c r="F38" i="8"/>
  <c r="G38" i="8"/>
  <c r="H38" i="8" s="1"/>
  <c r="E44" i="8"/>
  <c r="F30" i="21"/>
  <c r="G30" i="21"/>
  <c r="H30" i="21" s="1"/>
  <c r="F26" i="22"/>
  <c r="G26" i="22"/>
  <c r="H26" i="22" s="1"/>
  <c r="F32" i="10"/>
  <c r="G32" i="10"/>
  <c r="H32" i="10" s="1"/>
  <c r="G41" i="19"/>
  <c r="H41" i="19" s="1"/>
  <c r="F41" i="19"/>
  <c r="G33" i="9"/>
  <c r="H33" i="9" s="1"/>
  <c r="F33" i="9"/>
  <c r="F21" i="23"/>
  <c r="G21" i="23"/>
  <c r="H21" i="23" s="1"/>
  <c r="F36" i="10"/>
  <c r="G36" i="10"/>
  <c r="H36" i="10" s="1"/>
  <c r="G44" i="18"/>
  <c r="H44" i="18" s="1"/>
  <c r="F44" i="18"/>
  <c r="F26" i="10"/>
  <c r="G26" i="10"/>
  <c r="H26" i="10" s="1"/>
  <c r="G14" i="8"/>
  <c r="H14" i="8" s="1"/>
  <c r="F14" i="8"/>
  <c r="G40" i="7"/>
  <c r="H40" i="7" s="1"/>
  <c r="F40" i="7"/>
  <c r="F45" i="23"/>
  <c r="G45" i="23"/>
  <c r="H45" i="23" s="1"/>
  <c r="F27" i="14"/>
  <c r="G27" i="14"/>
  <c r="H27" i="14" s="1"/>
  <c r="G28" i="20"/>
  <c r="H28" i="20" s="1"/>
  <c r="F28" i="20"/>
  <c r="E38" i="12"/>
  <c r="E13" i="1" s="1"/>
  <c r="G19" i="10"/>
  <c r="H19" i="10" s="1"/>
  <c r="F19" i="10"/>
  <c r="F28" i="12"/>
  <c r="G28" i="12"/>
  <c r="H28" i="12" s="1"/>
  <c r="F66" i="22"/>
  <c r="G66" i="22"/>
  <c r="H66" i="22" s="1"/>
  <c r="G42" i="11"/>
  <c r="H42" i="11" s="1"/>
  <c r="F35" i="15"/>
  <c r="E37" i="15"/>
  <c r="G35" i="15"/>
  <c r="H35" i="15" s="1"/>
  <c r="F35" i="13"/>
  <c r="G35" i="13"/>
  <c r="H35" i="13" s="1"/>
  <c r="F41" i="18"/>
  <c r="G41" i="18"/>
  <c r="H41" i="18" s="1"/>
  <c r="F20" i="14"/>
  <c r="G20" i="14"/>
  <c r="H20" i="14" s="1"/>
  <c r="G45" i="13"/>
  <c r="H45" i="13" s="1"/>
  <c r="F45" i="13"/>
  <c r="G32" i="7"/>
  <c r="H32" i="7" s="1"/>
  <c r="F32" i="7"/>
  <c r="F14" i="20"/>
  <c r="G14" i="20"/>
  <c r="H14" i="20" s="1"/>
  <c r="G43" i="22"/>
  <c r="H43" i="22" s="1"/>
  <c r="F43" i="22"/>
  <c r="F46" i="7"/>
  <c r="E48" i="7"/>
  <c r="G46" i="7"/>
  <c r="H46" i="7" s="1"/>
  <c r="G10" i="23"/>
  <c r="H10" i="23" s="1"/>
  <c r="F10" i="23"/>
  <c r="G42" i="28"/>
  <c r="H42" i="28" s="1"/>
  <c r="F42" i="28"/>
  <c r="E44" i="28"/>
  <c r="F19" i="18"/>
  <c r="G19" i="18"/>
  <c r="H19" i="18" s="1"/>
  <c r="F14" i="28"/>
  <c r="F9" i="22"/>
  <c r="G9" i="22"/>
  <c r="H9" i="22" s="1"/>
  <c r="F49" i="19"/>
  <c r="G49" i="19"/>
  <c r="H49" i="19" s="1"/>
  <c r="F42" i="11"/>
  <c r="G14" i="14"/>
  <c r="H14" i="14" s="1"/>
  <c r="F14" i="14"/>
  <c r="F24" i="13"/>
  <c r="G24" i="13"/>
  <c r="H24" i="13" s="1"/>
  <c r="F30" i="19"/>
  <c r="G30" i="19"/>
  <c r="H30" i="19" s="1"/>
  <c r="G25" i="8"/>
  <c r="H25" i="8" s="1"/>
  <c r="F25" i="8"/>
  <c r="F31" i="13"/>
  <c r="G31" i="13"/>
  <c r="H31" i="13" s="1"/>
  <c r="G25" i="9"/>
  <c r="H25" i="9" s="1"/>
  <c r="F25" i="9"/>
  <c r="G56" i="22"/>
  <c r="H56" i="22" s="1"/>
  <c r="F56" i="22"/>
  <c r="F10" i="18"/>
  <c r="G10" i="18"/>
  <c r="H10" i="18" s="1"/>
  <c r="F22" i="20"/>
  <c r="G22" i="20"/>
  <c r="H22" i="20" s="1"/>
  <c r="F35" i="20"/>
  <c r="G35" i="20"/>
  <c r="H35" i="20" s="1"/>
  <c r="F40" i="14"/>
  <c r="G40" i="14"/>
  <c r="H40" i="14" s="1"/>
  <c r="E47" i="14"/>
  <c r="F31" i="16"/>
  <c r="G31" i="16"/>
  <c r="H31" i="16" s="1"/>
  <c r="F72" i="22"/>
  <c r="G72" i="22"/>
  <c r="H72" i="22" s="1"/>
  <c r="E47" i="13"/>
  <c r="E80" i="22"/>
  <c r="F16" i="17"/>
  <c r="E37" i="17"/>
  <c r="G16" i="17"/>
  <c r="H16" i="17" s="1"/>
  <c r="F43" i="21" l="1"/>
  <c r="F41" i="21"/>
  <c r="G40" i="12"/>
  <c r="F40" i="12"/>
  <c r="F51" i="23"/>
  <c r="G41" i="21"/>
  <c r="E24" i="1"/>
  <c r="H16" i="21"/>
  <c r="L4" i="21" s="1"/>
  <c r="C42" i="25" s="1"/>
  <c r="L7" i="28"/>
  <c r="F21" i="25" s="1"/>
  <c r="F31" i="25" s="1"/>
  <c r="F56" i="25" s="1"/>
  <c r="L3" i="10"/>
  <c r="B25" i="25" s="1"/>
  <c r="E20" i="1"/>
  <c r="G20" i="1" s="1"/>
  <c r="L4" i="10"/>
  <c r="C25" i="25" s="1"/>
  <c r="G33" i="16"/>
  <c r="G45" i="9"/>
  <c r="L3" i="15"/>
  <c r="B37" i="25" s="1"/>
  <c r="L5" i="12"/>
  <c r="D27" i="25" s="1"/>
  <c r="E23" i="1"/>
  <c r="H23" i="1" s="1"/>
  <c r="L5" i="16"/>
  <c r="D38" i="25" s="1"/>
  <c r="F37" i="20"/>
  <c r="L4" i="19"/>
  <c r="C40" i="25" s="1"/>
  <c r="L3" i="18"/>
  <c r="B52" i="25" s="1"/>
  <c r="L3" i="13"/>
  <c r="B28" i="25" s="1"/>
  <c r="L3" i="19"/>
  <c r="L4" i="12"/>
  <c r="C27" i="25" s="1"/>
  <c r="L3" i="20"/>
  <c r="B41" i="25" s="1"/>
  <c r="L4" i="18"/>
  <c r="C52" i="25" s="1"/>
  <c r="L4" i="14"/>
  <c r="C29" i="25" s="1"/>
  <c r="L3" i="12"/>
  <c r="B27" i="25" s="1"/>
  <c r="F48" i="18"/>
  <c r="F54" i="18" s="1"/>
  <c r="E54" i="18"/>
  <c r="G54" i="18" s="1"/>
  <c r="F80" i="22"/>
  <c r="G44" i="28"/>
  <c r="E47" i="28"/>
  <c r="G47" i="28" s="1"/>
  <c r="F44" i="28"/>
  <c r="F47" i="28" s="1"/>
  <c r="E7" i="1"/>
  <c r="L5" i="23"/>
  <c r="D44" i="25" s="1"/>
  <c r="L4" i="23"/>
  <c r="C44" i="25" s="1"/>
  <c r="L3" i="23"/>
  <c r="F37" i="15"/>
  <c r="E19" i="1"/>
  <c r="G37" i="15"/>
  <c r="L4" i="16"/>
  <c r="C38" i="25" s="1"/>
  <c r="F45" i="9"/>
  <c r="L5" i="20"/>
  <c r="D41" i="25" s="1"/>
  <c r="L4" i="28"/>
  <c r="C21" i="25" s="1"/>
  <c r="L3" i="11"/>
  <c r="L5" i="11"/>
  <c r="D26" i="25" s="1"/>
  <c r="L4" i="11"/>
  <c r="C26" i="25" s="1"/>
  <c r="L3" i="14"/>
  <c r="L3" i="16"/>
  <c r="L3" i="17"/>
  <c r="L5" i="17"/>
  <c r="D39" i="25" s="1"/>
  <c r="L4" i="17"/>
  <c r="C39" i="25" s="1"/>
  <c r="E15" i="1"/>
  <c r="F47" i="14"/>
  <c r="G47" i="14"/>
  <c r="L3" i="9"/>
  <c r="L4" i="9"/>
  <c r="C24" i="25" s="1"/>
  <c r="L3" i="22"/>
  <c r="L4" i="22"/>
  <c r="C43" i="25" s="1"/>
  <c r="G37" i="17"/>
  <c r="F37" i="17"/>
  <c r="E21" i="1"/>
  <c r="G80" i="22"/>
  <c r="E25" i="1"/>
  <c r="G44" i="11"/>
  <c r="G47" i="11"/>
  <c r="E12" i="1"/>
  <c r="F44" i="11"/>
  <c r="F47" i="11" s="1"/>
  <c r="L4" i="13"/>
  <c r="C28" i="25" s="1"/>
  <c r="G52" i="10"/>
  <c r="E11" i="1"/>
  <c r="F52" i="10"/>
  <c r="F54" i="10" s="1"/>
  <c r="L3" i="28"/>
  <c r="L5" i="14"/>
  <c r="D29" i="25" s="1"/>
  <c r="G47" i="13"/>
  <c r="E50" i="13"/>
  <c r="G50" i="13" s="1"/>
  <c r="E14" i="1"/>
  <c r="F47" i="13"/>
  <c r="F50" i="13" s="1"/>
  <c r="E8" i="1"/>
  <c r="E51" i="7"/>
  <c r="G51" i="7" s="1"/>
  <c r="F48" i="7"/>
  <c r="F51" i="7" s="1"/>
  <c r="G48" i="7"/>
  <c r="L4" i="15"/>
  <c r="C37" i="25" s="1"/>
  <c r="G44" i="8"/>
  <c r="E9" i="1"/>
  <c r="F44" i="8"/>
  <c r="L4" i="20"/>
  <c r="C41" i="25" s="1"/>
  <c r="E22" i="1"/>
  <c r="G55" i="19"/>
  <c r="F55" i="19"/>
  <c r="F57" i="19" s="1"/>
  <c r="E26" i="1"/>
  <c r="G51" i="23"/>
  <c r="F38" i="12"/>
  <c r="G38" i="12"/>
  <c r="L4" i="7"/>
  <c r="C22" i="25" s="1"/>
  <c r="L3" i="7"/>
  <c r="L5" i="7"/>
  <c r="D22" i="25" s="1"/>
  <c r="H10" i="1"/>
  <c r="G10" i="1"/>
  <c r="F10" i="1"/>
  <c r="L3" i="21" l="1"/>
  <c r="B42" i="25" s="1"/>
  <c r="G42" i="25" s="1"/>
  <c r="F20" i="1"/>
  <c r="H20" i="1"/>
  <c r="L8" i="10"/>
  <c r="G25" i="25"/>
  <c r="F23" i="1"/>
  <c r="G23" i="1"/>
  <c r="D31" i="25"/>
  <c r="L8" i="12"/>
  <c r="G27" i="25"/>
  <c r="L8" i="19"/>
  <c r="E30" i="1"/>
  <c r="E32" i="1" s="1"/>
  <c r="B40" i="25"/>
  <c r="G40" i="25" s="1"/>
  <c r="L8" i="18"/>
  <c r="L8" i="13"/>
  <c r="C46" i="25"/>
  <c r="D46" i="25"/>
  <c r="G8" i="1"/>
  <c r="H8" i="1"/>
  <c r="F8" i="1"/>
  <c r="H7" i="1"/>
  <c r="F7" i="1"/>
  <c r="G7" i="1"/>
  <c r="E17" i="1"/>
  <c r="G52" i="25"/>
  <c r="L8" i="15"/>
  <c r="H22" i="1"/>
  <c r="F22" i="1"/>
  <c r="G22" i="1"/>
  <c r="G11" i="1"/>
  <c r="F11" i="1"/>
  <c r="H11" i="1"/>
  <c r="H12" i="1"/>
  <c r="F12" i="1"/>
  <c r="G12" i="1"/>
  <c r="H21" i="1"/>
  <c r="F21" i="1"/>
  <c r="G21" i="1"/>
  <c r="L8" i="22"/>
  <c r="B43" i="25"/>
  <c r="G43" i="25" s="1"/>
  <c r="L8" i="17"/>
  <c r="B39" i="25"/>
  <c r="G39" i="25" s="1"/>
  <c r="B44" i="25"/>
  <c r="G44" i="25" s="1"/>
  <c r="G28" i="25"/>
  <c r="G37" i="25"/>
  <c r="F13" i="1"/>
  <c r="H13" i="1"/>
  <c r="G13" i="1"/>
  <c r="B22" i="25"/>
  <c r="G22" i="25" s="1"/>
  <c r="L8" i="7"/>
  <c r="F26" i="1"/>
  <c r="H26" i="1"/>
  <c r="G26" i="1"/>
  <c r="G9" i="1"/>
  <c r="H9" i="1"/>
  <c r="F9" i="1"/>
  <c r="H14" i="1"/>
  <c r="F14" i="1"/>
  <c r="G14" i="1"/>
  <c r="L8" i="28"/>
  <c r="B21" i="25"/>
  <c r="F15" i="1"/>
  <c r="G15" i="1"/>
  <c r="H15" i="1"/>
  <c r="L8" i="16"/>
  <c r="B38" i="25"/>
  <c r="G38" i="25" s="1"/>
  <c r="L8" i="11"/>
  <c r="B26" i="25"/>
  <c r="G26" i="25" s="1"/>
  <c r="C31" i="25"/>
  <c r="G41" i="25"/>
  <c r="F25" i="1"/>
  <c r="H25" i="1"/>
  <c r="G25" i="1"/>
  <c r="L8" i="9"/>
  <c r="B24" i="25"/>
  <c r="G24" i="25" s="1"/>
  <c r="L8" i="14"/>
  <c r="B29" i="25"/>
  <c r="G29" i="25" s="1"/>
  <c r="E28" i="1"/>
  <c r="F19" i="1"/>
  <c r="H19" i="1"/>
  <c r="G19" i="1"/>
  <c r="L8" i="20"/>
  <c r="L8" i="21" l="1"/>
  <c r="E37" i="1"/>
  <c r="G30" i="1"/>
  <c r="G32" i="1" s="1"/>
  <c r="H30" i="1"/>
  <c r="H32" i="1" s="1"/>
  <c r="F30" i="1"/>
  <c r="F32" i="1" s="1"/>
  <c r="D56" i="25"/>
  <c r="E53" i="25"/>
  <c r="F53" i="25"/>
  <c r="D53" i="25"/>
  <c r="C53" i="25"/>
  <c r="B31" i="25"/>
  <c r="G21" i="25"/>
  <c r="G31" i="25" s="1"/>
  <c r="C32" i="25" s="1"/>
  <c r="C56" i="25"/>
  <c r="G24" i="1"/>
  <c r="F24" i="1"/>
  <c r="H24" i="1"/>
  <c r="G46" i="25"/>
  <c r="H17" i="1"/>
  <c r="F17" i="1"/>
  <c r="G17" i="1"/>
  <c r="H28" i="1"/>
  <c r="F28" i="1"/>
  <c r="G28" i="1"/>
  <c r="B46" i="25"/>
  <c r="F37" i="1" l="1"/>
  <c r="G56" i="25"/>
  <c r="C57" i="25" s="1"/>
  <c r="B56" i="25"/>
  <c r="E32" i="25"/>
  <c r="D32" i="25"/>
  <c r="F47" i="25"/>
  <c r="E47" i="25"/>
  <c r="D47" i="25"/>
  <c r="E57" i="25" l="1"/>
  <c r="F57" i="25"/>
  <c r="D57" i="25"/>
  <c r="H37" i="1"/>
  <c r="C445" i="27"/>
  <c r="C447" i="27" s="1"/>
  <c r="G37" i="1"/>
  <c r="C12" i="25"/>
  <c r="E12" i="25" s="1"/>
  <c r="D12" i="25" l="1"/>
  <c r="E59" i="19" l="1"/>
  <c r="F59" i="19" l="1"/>
  <c r="G59" i="19"/>
  <c r="E56" i="18" l="1"/>
  <c r="F56" i="18" l="1"/>
  <c r="G5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KEEBLE</author>
  </authors>
  <commentList>
    <comment ref="K8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PHILIP KEEBLE:</t>
        </r>
        <r>
          <rPr>
            <sz val="9"/>
            <color indexed="81"/>
            <rFont val="Tahoma"/>
            <family val="2"/>
          </rPr>
          <t xml:space="preserve">
should be B111
</t>
        </r>
      </text>
    </comment>
  </commentList>
</comments>
</file>

<file path=xl/sharedStrings.xml><?xml version="1.0" encoding="utf-8"?>
<sst xmlns="http://schemas.openxmlformats.org/spreadsheetml/2006/main" count="3222" uniqueCount="1647">
  <si>
    <t>Deanery</t>
  </si>
  <si>
    <t>Target</t>
  </si>
  <si>
    <t>Received</t>
  </si>
  <si>
    <t>Outstanding</t>
  </si>
  <si>
    <t>% Received</t>
  </si>
  <si>
    <t>Bosmere</t>
  </si>
  <si>
    <t>Clare</t>
  </si>
  <si>
    <t>Hadleigh</t>
  </si>
  <si>
    <t>Ixworth</t>
  </si>
  <si>
    <t>Lavenham</t>
  </si>
  <si>
    <t>Mildenhall</t>
  </si>
  <si>
    <t>Stowmarket</t>
  </si>
  <si>
    <t>Sudbury</t>
  </si>
  <si>
    <t>Thingoe</t>
  </si>
  <si>
    <t>Sudbury Archdeaconry</t>
  </si>
  <si>
    <t>Colneys</t>
  </si>
  <si>
    <t>Hartismere</t>
  </si>
  <si>
    <t>Hoxne</t>
  </si>
  <si>
    <t>Ipswich</t>
  </si>
  <si>
    <t>Loes</t>
  </si>
  <si>
    <t>Samford</t>
  </si>
  <si>
    <t>Saxmundham</t>
  </si>
  <si>
    <t>Waveney &amp; Blyth</t>
  </si>
  <si>
    <t>Woodbridge</t>
  </si>
  <si>
    <t>Suffolk Archdeaconry</t>
  </si>
  <si>
    <t>Other Donations</t>
  </si>
  <si>
    <t xml:space="preserve">Deanery Summary: </t>
  </si>
  <si>
    <t>Published on:</t>
  </si>
  <si>
    <t>Bosmere Deanery:</t>
  </si>
  <si>
    <t>Parish/Benefice</t>
  </si>
  <si>
    <t>Baylham</t>
  </si>
  <si>
    <t>Bramford</t>
  </si>
  <si>
    <t>Little Blakenham</t>
  </si>
  <si>
    <t>Nettlestead</t>
  </si>
  <si>
    <t>Bramford Group Total</t>
  </si>
  <si>
    <t>Claydon &amp; Barham</t>
  </si>
  <si>
    <t>Great Blakenham</t>
  </si>
  <si>
    <t>Henley</t>
  </si>
  <si>
    <t>Claydon Group Total</t>
  </si>
  <si>
    <t>Coddenham</t>
  </si>
  <si>
    <t>Creeting St Mary</t>
  </si>
  <si>
    <t>Creeting St Peter</t>
  </si>
  <si>
    <t>Crowfield</t>
  </si>
  <si>
    <t>Earl Stonham with Stonham Parva</t>
  </si>
  <si>
    <t>Gosbeck</t>
  </si>
  <si>
    <t>Hemingstone</t>
  </si>
  <si>
    <t>Stonham Aspal and Mickfield</t>
  </si>
  <si>
    <t>Coddenham and Creetings Group Total</t>
  </si>
  <si>
    <t>Needham Market with Badley</t>
  </si>
  <si>
    <t xml:space="preserve">Barking with Darmsden </t>
  </si>
  <si>
    <t>Battisford</t>
  </si>
  <si>
    <t>Flowton</t>
  </si>
  <si>
    <t>Great Bricett</t>
  </si>
  <si>
    <t>Offton</t>
  </si>
  <si>
    <t>Ringshall</t>
  </si>
  <si>
    <t>Somersham</t>
  </si>
  <si>
    <t>Willisham</t>
  </si>
  <si>
    <t>South Bosmere Eight Total</t>
  </si>
  <si>
    <t>Deanery Total</t>
  </si>
  <si>
    <t>Clare Deanery:</t>
  </si>
  <si>
    <t>Haverhill</t>
  </si>
  <si>
    <t>Withersfield</t>
  </si>
  <si>
    <t>Barnardiston</t>
  </si>
  <si>
    <t>Great Bradley</t>
  </si>
  <si>
    <t>Great Thurlow</t>
  </si>
  <si>
    <t>Great Wratting</t>
  </si>
  <si>
    <t>Kedington</t>
  </si>
  <si>
    <t>Little Bradley</t>
  </si>
  <si>
    <t>Little Thurlow</t>
  </si>
  <si>
    <t>Little Wratting</t>
  </si>
  <si>
    <t>Stourhead Benefice Total</t>
  </si>
  <si>
    <t>Haverhill with Withersfield Total</t>
  </si>
  <si>
    <t>Cowlinge</t>
  </si>
  <si>
    <t>Denston</t>
  </si>
  <si>
    <t>Lidgate</t>
  </si>
  <si>
    <t>Ousden</t>
  </si>
  <si>
    <t>Stansfield</t>
  </si>
  <si>
    <t>Stradishall</t>
  </si>
  <si>
    <t>Wickhambrook</t>
  </si>
  <si>
    <t>The Benefice of Bansfield Total</t>
  </si>
  <si>
    <t>Chedburgh</t>
  </si>
  <si>
    <t>Chevington</t>
  </si>
  <si>
    <t>Depden</t>
  </si>
  <si>
    <t>Hargrave</t>
  </si>
  <si>
    <t>Hawkedon</t>
  </si>
  <si>
    <t>Rede</t>
  </si>
  <si>
    <t>The Benefice of Suffolk Heights Total</t>
  </si>
  <si>
    <t>Cavendish</t>
  </si>
  <si>
    <t>Clare with Poslingford</t>
  </si>
  <si>
    <t>Hundon</t>
  </si>
  <si>
    <t>Stoke by Clare</t>
  </si>
  <si>
    <t>Wixoe</t>
  </si>
  <si>
    <t>The Benefice of Stour Valley</t>
  </si>
  <si>
    <t>Hadleigh Deanery:</t>
  </si>
  <si>
    <t>Bildeston</t>
  </si>
  <si>
    <t>Lindsey</t>
  </si>
  <si>
    <t>Naughton</t>
  </si>
  <si>
    <t>Nedging</t>
  </si>
  <si>
    <t>Semer</t>
  </si>
  <si>
    <t>Whatfield</t>
  </si>
  <si>
    <t>Aldham</t>
  </si>
  <si>
    <t>Elmsett</t>
  </si>
  <si>
    <t>Hintlesham &amp; Chattisham</t>
  </si>
  <si>
    <t>Kersey</t>
  </si>
  <si>
    <t>Layham</t>
  </si>
  <si>
    <t>Shelley</t>
  </si>
  <si>
    <t>Higham</t>
  </si>
  <si>
    <t>Holton St Mary</t>
  </si>
  <si>
    <t>Raydon</t>
  </si>
  <si>
    <t>Stratford St Mary</t>
  </si>
  <si>
    <t>Leavenheath</t>
  </si>
  <si>
    <t>Nayland</t>
  </si>
  <si>
    <t>Polstead</t>
  </si>
  <si>
    <t>Stoke-by-Nayland</t>
  </si>
  <si>
    <t>Wissington</t>
  </si>
  <si>
    <t>Stoke-by-Nayland w Leavenheath &amp; Polstead w Nayland &amp; Wissington Total</t>
  </si>
  <si>
    <t>Higham, Holton St Mary, Raydon &amp; Stratford St Mary Total</t>
  </si>
  <si>
    <t>Hadleigh, Layham &amp; Shelley Total</t>
  </si>
  <si>
    <t>Elmsett w Aldham, Hintlesham, Chattisham &amp; Kersey Total</t>
  </si>
  <si>
    <t>Bildeston w Wattisham &amp; Lindsey, Whatfield w Semer, Nedging &amp; Naughton Total</t>
  </si>
  <si>
    <t>Ixworth Deanery:</t>
  </si>
  <si>
    <t>Badwell Ash</t>
  </si>
  <si>
    <t>Finningham</t>
  </si>
  <si>
    <t>Langham</t>
  </si>
  <si>
    <t>Walsham-le-Willows</t>
  </si>
  <si>
    <t>Wattisfield</t>
  </si>
  <si>
    <t>Westhorpe</t>
  </si>
  <si>
    <t>Badwell &amp; Walsham Total</t>
  </si>
  <si>
    <t>Bardwell</t>
  </si>
  <si>
    <t>Barnham</t>
  </si>
  <si>
    <t>Euston</t>
  </si>
  <si>
    <t>Fakenham Magna</t>
  </si>
  <si>
    <t>Honington with Sapiston</t>
  </si>
  <si>
    <t>Ingham w Ampton &amp; Gt &amp; Lt Livermere</t>
  </si>
  <si>
    <t>Ixworth w Ixworth Thorpe</t>
  </si>
  <si>
    <t>Troston</t>
  </si>
  <si>
    <t>Blackbourne Team Total</t>
  </si>
  <si>
    <t>Great Ashfield</t>
  </si>
  <si>
    <t>Hunston</t>
  </si>
  <si>
    <t>Norton</t>
  </si>
  <si>
    <t>Pakenham</t>
  </si>
  <si>
    <t>Stowlangtoft</t>
  </si>
  <si>
    <t>Tostock</t>
  </si>
  <si>
    <t>Barningham</t>
  </si>
  <si>
    <t>Coney Weston</t>
  </si>
  <si>
    <t>Hepworth</t>
  </si>
  <si>
    <t>Hinderclay</t>
  </si>
  <si>
    <t>Hopton</t>
  </si>
  <si>
    <t>Market Weston</t>
  </si>
  <si>
    <t>Stanton</t>
  </si>
  <si>
    <t>Thelnetham</t>
  </si>
  <si>
    <t>Stanton, Hopton, Market Weston, Barningham &amp; Coney Weston &amp; Hepworth w Hinderclay, Wattisfield &amp; Thelnetham Total</t>
  </si>
  <si>
    <t>Lavenham Deanery:</t>
  </si>
  <si>
    <t>Bradfield St Clare</t>
  </si>
  <si>
    <t>Bradfield St George &amp; Lt Whelnetham</t>
  </si>
  <si>
    <t>Cockfield</t>
  </si>
  <si>
    <t>Felsham</t>
  </si>
  <si>
    <t>Gedding</t>
  </si>
  <si>
    <t>Bradfield St Clare, Bradfield St George w Lt Whelnetham, Cockfield, Felsham &amp; Gedding Total</t>
  </si>
  <si>
    <t>Elmswell</t>
  </si>
  <si>
    <t>Preston</t>
  </si>
  <si>
    <t>Lavenham with Preston Total</t>
  </si>
  <si>
    <t>Brent Eleigh</t>
  </si>
  <si>
    <t>Chelsworth</t>
  </si>
  <si>
    <t>Kettlebaston</t>
  </si>
  <si>
    <t>Milden</t>
  </si>
  <si>
    <t>Monks Eleigh</t>
  </si>
  <si>
    <t>Monks Eleigh with Chelsworth &amp; Brent Eleigh w Milden &amp; Kettlebaston Total</t>
  </si>
  <si>
    <t>Beyton &amp; Hessett</t>
  </si>
  <si>
    <t>Rougham</t>
  </si>
  <si>
    <t>Rougham, Beyton with Hessett &amp; Rushbrooke Total</t>
  </si>
  <si>
    <t>Bradfield Combust</t>
  </si>
  <si>
    <t>Great Whelnetham</t>
  </si>
  <si>
    <t>Hawstead</t>
  </si>
  <si>
    <t>Lawshall</t>
  </si>
  <si>
    <t>Nowton</t>
  </si>
  <si>
    <t>Stanningfield</t>
  </si>
  <si>
    <t>The Saint Edmund Way Benefice Total</t>
  </si>
  <si>
    <t>Drinkstone</t>
  </si>
  <si>
    <t>Woolpit</t>
  </si>
  <si>
    <t>Woolpit with Drinkstone Total</t>
  </si>
  <si>
    <t>Brandon with Wangford</t>
  </si>
  <si>
    <t>Elveden</t>
  </si>
  <si>
    <t>Lakenheath</t>
  </si>
  <si>
    <t>Santon Downham</t>
  </si>
  <si>
    <t>Santon Downham w Elveden &amp; Lakenheath Total</t>
  </si>
  <si>
    <t>Exning with the Chapel of Landwade</t>
  </si>
  <si>
    <t>Barton Mills</t>
  </si>
  <si>
    <t>Beck Row with Kenny Hill</t>
  </si>
  <si>
    <t>Dalham</t>
  </si>
  <si>
    <t>Eriswell</t>
  </si>
  <si>
    <t>Freckenham</t>
  </si>
  <si>
    <t>Gazeley</t>
  </si>
  <si>
    <t>Herringswell</t>
  </si>
  <si>
    <t>Higham Green</t>
  </si>
  <si>
    <t>Icklingham</t>
  </si>
  <si>
    <t>Kentford</t>
  </si>
  <si>
    <t>Moulton</t>
  </si>
  <si>
    <t>Tuddenham w Cavenham &amp; Red Lodge</t>
  </si>
  <si>
    <t>West Row</t>
  </si>
  <si>
    <t>Worlington</t>
  </si>
  <si>
    <t>Mildenhall Team w Dalham, Gazeley, Higham, Kentford and Moulton Total</t>
  </si>
  <si>
    <t>Newmarket All Saints</t>
  </si>
  <si>
    <t>Exning</t>
  </si>
  <si>
    <t>Newmarket St Mary</t>
  </si>
  <si>
    <t>Newmarket St Mary w Exning St Agnes Total</t>
  </si>
  <si>
    <t>Over allocation</t>
  </si>
  <si>
    <t>Stowmarket Deanery:</t>
  </si>
  <si>
    <t>Bacton</t>
  </si>
  <si>
    <t>Cotton</t>
  </si>
  <si>
    <t>Gipping</t>
  </si>
  <si>
    <t>Old Newton</t>
  </si>
  <si>
    <t>Wickham Skeith</t>
  </si>
  <si>
    <t>Wyverstone</t>
  </si>
  <si>
    <t>Combs</t>
  </si>
  <si>
    <t>Little Finborough</t>
  </si>
  <si>
    <t>Buxhall</t>
  </si>
  <si>
    <t>Great Finborough</t>
  </si>
  <si>
    <t>Harleston</t>
  </si>
  <si>
    <t>Onehouse</t>
  </si>
  <si>
    <t>Shelland</t>
  </si>
  <si>
    <t>Bacton w Wyverstone, Cotton &amp; Old Newton &amp; Wickham Skeith Total</t>
  </si>
  <si>
    <t>Haughley</t>
  </si>
  <si>
    <t>Stowupland</t>
  </si>
  <si>
    <t>Wetherden</t>
  </si>
  <si>
    <t>Haughley w Wetherden &amp; Stowupland Total</t>
  </si>
  <si>
    <t>Mendlesham</t>
  </si>
  <si>
    <t>Sudbury Deanery:</t>
  </si>
  <si>
    <t>Acton</t>
  </si>
  <si>
    <t>Great Waldingfield</t>
  </si>
  <si>
    <t>Acton w Gt Waldingfield Total</t>
  </si>
  <si>
    <t>Boxford</t>
  </si>
  <si>
    <t>Edwardstone</t>
  </si>
  <si>
    <t>Groton</t>
  </si>
  <si>
    <t>Lt Waldingfield</t>
  </si>
  <si>
    <t>Newton Green</t>
  </si>
  <si>
    <t>Assington</t>
  </si>
  <si>
    <t>Bures</t>
  </si>
  <si>
    <t>Little Cornard</t>
  </si>
  <si>
    <t>Bures w Assington &amp; Lt Cornard Total</t>
  </si>
  <si>
    <t>Glemsford</t>
  </si>
  <si>
    <t>Hartest with Boxtead</t>
  </si>
  <si>
    <t>Somerton</t>
  </si>
  <si>
    <t>Stanstead</t>
  </si>
  <si>
    <t>Glem Valley United Benefice Total</t>
  </si>
  <si>
    <t>Great Cornard</t>
  </si>
  <si>
    <t>Sudbury All Saints</t>
  </si>
  <si>
    <t>Sudbury St Gregory</t>
  </si>
  <si>
    <t>Alpheton &amp; Shimplingthorne</t>
  </si>
  <si>
    <t>Long Melford</t>
  </si>
  <si>
    <t>The Benefice of Chadbrook Total</t>
  </si>
  <si>
    <t>Mildenhall Deanery:</t>
  </si>
  <si>
    <t>Thingoe Deanery:</t>
  </si>
  <si>
    <t>Bury St Edmunds Christ Church Moreton Hall</t>
  </si>
  <si>
    <t>Bury St Edmunds St Mary w St Peter</t>
  </si>
  <si>
    <t>Great Barton</t>
  </si>
  <si>
    <t>Thurston</t>
  </si>
  <si>
    <t>Great Barton and Thurston Total</t>
  </si>
  <si>
    <t>Brockley</t>
  </si>
  <si>
    <t>Horringer</t>
  </si>
  <si>
    <t>Westley</t>
  </si>
  <si>
    <t>Whepstead</t>
  </si>
  <si>
    <t>Horringer Total</t>
  </si>
  <si>
    <t>Barrow</t>
  </si>
  <si>
    <t>Denham St Mary</t>
  </si>
  <si>
    <t>Great Saxham</t>
  </si>
  <si>
    <t>Little Saxham</t>
  </si>
  <si>
    <t>The Benefice of Barrow</t>
  </si>
  <si>
    <t>Risby</t>
  </si>
  <si>
    <t>Bury St Edmunds All Saints</t>
  </si>
  <si>
    <t>Bury St Edmunds St George</t>
  </si>
  <si>
    <t>Bury St Edmunds St John</t>
  </si>
  <si>
    <t>Culford</t>
  </si>
  <si>
    <t>Flemton with Hengrave</t>
  </si>
  <si>
    <t>Fornham All Saints</t>
  </si>
  <si>
    <t>Fornham St Martin</t>
  </si>
  <si>
    <t>Lackford</t>
  </si>
  <si>
    <t>Timworth</t>
  </si>
  <si>
    <t>West Stow &amp; Wordwell</t>
  </si>
  <si>
    <t>The North Bury Team and Lark Valley Benefice Total</t>
  </si>
  <si>
    <t>Colneys Deanery:</t>
  </si>
  <si>
    <t>Felixstowe St John the Baptist w St Edmund</t>
  </si>
  <si>
    <t>Felixstowe St Peter &amp; St Paul w St Andrew &amp; St Nicholas</t>
  </si>
  <si>
    <t>Kesgrave</t>
  </si>
  <si>
    <t>Brightwell</t>
  </si>
  <si>
    <t>Martlesham</t>
  </si>
  <si>
    <t>Felixstowe Christchurch</t>
  </si>
  <si>
    <t>Trimley</t>
  </si>
  <si>
    <t>Walton</t>
  </si>
  <si>
    <t>Walton and Trimley Total</t>
  </si>
  <si>
    <t>Bucklesham &amp; Foxhall</t>
  </si>
  <si>
    <t>Hemley</t>
  </si>
  <si>
    <t>Kirton</t>
  </si>
  <si>
    <t>Levington</t>
  </si>
  <si>
    <t>Nacton</t>
  </si>
  <si>
    <t>Newbourne</t>
  </si>
  <si>
    <t>Waldringfield</t>
  </si>
  <si>
    <t>The Colneys Rural Benefice Total</t>
  </si>
  <si>
    <t>Martlesham w Brightwell Total</t>
  </si>
  <si>
    <t>Hartismere Deanery:</t>
  </si>
  <si>
    <t>Bedingfield</t>
  </si>
  <si>
    <t>Eye with Braiseworth</t>
  </si>
  <si>
    <t>Occold</t>
  </si>
  <si>
    <t>Eye Total</t>
  </si>
  <si>
    <t>Brome with Oakley</t>
  </si>
  <si>
    <t>Burgate</t>
  </si>
  <si>
    <t>Palgrave</t>
  </si>
  <si>
    <t>Stuston</t>
  </si>
  <si>
    <t>Thrandeston</t>
  </si>
  <si>
    <t>Wortham</t>
  </si>
  <si>
    <t>North Hartismere Total</t>
  </si>
  <si>
    <t>Gislingham</t>
  </si>
  <si>
    <t>Mellis</t>
  </si>
  <si>
    <t>Stoke Ash w Thwaite</t>
  </si>
  <si>
    <t>Thorndon w Rishangles</t>
  </si>
  <si>
    <t>Thornham Magna</t>
  </si>
  <si>
    <t>Wetheringsett cum Brockford</t>
  </si>
  <si>
    <t>Yaxley</t>
  </si>
  <si>
    <t>South Hartismere Total</t>
  </si>
  <si>
    <t>Hoxne Deanery:</t>
  </si>
  <si>
    <t>Athelington</t>
  </si>
  <si>
    <t>Denham St John</t>
  </si>
  <si>
    <t>Horham</t>
  </si>
  <si>
    <t>Redlingfield</t>
  </si>
  <si>
    <t>Syleham</t>
  </si>
  <si>
    <t>Wingfield</t>
  </si>
  <si>
    <t>Athelington, Denham, Horham, Hoxne, Redlingfield, Syleham &amp; Wingfield Total</t>
  </si>
  <si>
    <t>Bedfield</t>
  </si>
  <si>
    <t>Brundish</t>
  </si>
  <si>
    <t>Cratfield</t>
  </si>
  <si>
    <t>Laxfield</t>
  </si>
  <si>
    <t>Monk Soham</t>
  </si>
  <si>
    <t>Tannington</t>
  </si>
  <si>
    <t>Wilby</t>
  </si>
  <si>
    <t>Worlingworth w Southolt</t>
  </si>
  <si>
    <t>Four Rivers Total</t>
  </si>
  <si>
    <t>Fressingfield</t>
  </si>
  <si>
    <t>Mendham</t>
  </si>
  <si>
    <t>Metfield</t>
  </si>
  <si>
    <t>Stradbroke</t>
  </si>
  <si>
    <t>Weybread</t>
  </si>
  <si>
    <t>Withersdale</t>
  </si>
  <si>
    <t>Sancroft Total</t>
  </si>
  <si>
    <t>Ipswich Deanery:</t>
  </si>
  <si>
    <t>Ipswich All Hallows</t>
  </si>
  <si>
    <t>Ipswich St Augustine</t>
  </si>
  <si>
    <t>Ipswich Holy Trinity</t>
  </si>
  <si>
    <t>Ipswich St Clements</t>
  </si>
  <si>
    <t>Ipswich St Helen</t>
  </si>
  <si>
    <t>Ipswich St Helen, Holy Trinity &amp; St Clements w St Luke Total</t>
  </si>
  <si>
    <t>Ipswich St Margaret</t>
  </si>
  <si>
    <t>Ipswich St Mary le Tower</t>
  </si>
  <si>
    <t>Ipswich St Mary at the Elms</t>
  </si>
  <si>
    <t>Ipswich All Saints</t>
  </si>
  <si>
    <t>Ipswich St Matthew</t>
  </si>
  <si>
    <t>Ipswich Triangle</t>
  </si>
  <si>
    <t>Ipswich St Matthew with Triangle &amp; All Saints Total</t>
  </si>
  <si>
    <t>Ipswich St Thomas</t>
  </si>
  <si>
    <t>Rushmere St Andrew</t>
  </si>
  <si>
    <t>South West Ipswich Team Ministry</t>
  </si>
  <si>
    <t>Whitton with Thurleston &amp; Akenham</t>
  </si>
  <si>
    <t>Westerfield &amp; Tuddenham St Martin w Witnesham</t>
  </si>
  <si>
    <t>Loes Deanery:</t>
  </si>
  <si>
    <t>Brandeston</t>
  </si>
  <si>
    <t>Campsea Ashe</t>
  </si>
  <si>
    <t>Easton</t>
  </si>
  <si>
    <t>Hacheston</t>
  </si>
  <si>
    <t>Kettleburgh</t>
  </si>
  <si>
    <t>Marlesford</t>
  </si>
  <si>
    <t>Parham</t>
  </si>
  <si>
    <t>Orebeck Benefice Total</t>
  </si>
  <si>
    <t>Framlingham</t>
  </si>
  <si>
    <t>Saxtead</t>
  </si>
  <si>
    <t>Framlingham with Saxtead Total</t>
  </si>
  <si>
    <t>Aspall</t>
  </si>
  <si>
    <t>Debenham</t>
  </si>
  <si>
    <t>Framsden</t>
  </si>
  <si>
    <t>Helmingham</t>
  </si>
  <si>
    <t>Kenton</t>
  </si>
  <si>
    <t>Pettaugh</t>
  </si>
  <si>
    <t>Winston</t>
  </si>
  <si>
    <t>The Benefice of Debenham &amp; Helmingham Total</t>
  </si>
  <si>
    <t>Ashfield cum Thorpe</t>
  </si>
  <si>
    <t>Charsfield with Debach</t>
  </si>
  <si>
    <t>Cretingham</t>
  </si>
  <si>
    <t>Dallinghoo</t>
  </si>
  <si>
    <t>Letheringham</t>
  </si>
  <si>
    <t>Earl Soham</t>
  </si>
  <si>
    <t>Hoo</t>
  </si>
  <si>
    <t>Monewden</t>
  </si>
  <si>
    <t>The Benefice of Mid Loes Total</t>
  </si>
  <si>
    <t>Badingham</t>
  </si>
  <si>
    <t>Bruisyard</t>
  </si>
  <si>
    <t>Cransford</t>
  </si>
  <si>
    <t>Dennington</t>
  </si>
  <si>
    <t>Rendham</t>
  </si>
  <si>
    <t>Sweffling</t>
  </si>
  <si>
    <t>Upper Alde Total</t>
  </si>
  <si>
    <t>Pettistree</t>
  </si>
  <si>
    <t>Wickham Market</t>
  </si>
  <si>
    <t>Wickham Market &amp; Pettistree Total</t>
  </si>
  <si>
    <t>Samford Deanery:</t>
  </si>
  <si>
    <t>Capel St Mary with Lt Wenham</t>
  </si>
  <si>
    <t>Great Wenham</t>
  </si>
  <si>
    <t>Capel St Mary w Lt &amp; Gt Wenham Total</t>
  </si>
  <si>
    <t>Brantham</t>
  </si>
  <si>
    <t>East Bergholt</t>
  </si>
  <si>
    <t>East Bergholt &amp; Brantham Total</t>
  </si>
  <si>
    <t>Belstead</t>
  </si>
  <si>
    <t>Bentley</t>
  </si>
  <si>
    <t>Burstall</t>
  </si>
  <si>
    <t>Copdock w Washbrook</t>
  </si>
  <si>
    <t>Sproughton</t>
  </si>
  <si>
    <t>Tattingstone</t>
  </si>
  <si>
    <t>The North Samford Benefice Total</t>
  </si>
  <si>
    <t>Chelmondiston</t>
  </si>
  <si>
    <t>Erwarton</t>
  </si>
  <si>
    <t>Harkstead</t>
  </si>
  <si>
    <t>Shotley</t>
  </si>
  <si>
    <t>The Shoreline Benefice Total</t>
  </si>
  <si>
    <t>Freston</t>
  </si>
  <si>
    <t>Holbrook</t>
  </si>
  <si>
    <t>Stutton</t>
  </si>
  <si>
    <t>Wherstead</t>
  </si>
  <si>
    <t>Woolverstone</t>
  </si>
  <si>
    <t>The Two Rivers Benefice Total</t>
  </si>
  <si>
    <t>Saxmundham Deanery:</t>
  </si>
  <si>
    <t>Benhall</t>
  </si>
  <si>
    <t>Blaxhall</t>
  </si>
  <si>
    <t>Farnham &amp; Stratford St Andrew</t>
  </si>
  <si>
    <t>Great Glemham</t>
  </si>
  <si>
    <t>Little Glemham</t>
  </si>
  <si>
    <t xml:space="preserve">Snape </t>
  </si>
  <si>
    <t>Sternfield</t>
  </si>
  <si>
    <t>Benefice Share</t>
  </si>
  <si>
    <t>Alde River Benefice Total</t>
  </si>
  <si>
    <t>Aldeburgh</t>
  </si>
  <si>
    <t>Aldringham w Thorpe</t>
  </si>
  <si>
    <t>Friston</t>
  </si>
  <si>
    <t>Knodishall</t>
  </si>
  <si>
    <t>Leiston</t>
  </si>
  <si>
    <t>Kelsale cum Carlton</t>
  </si>
  <si>
    <t>Saxmundham with Kelsale-cum-Carlton Total</t>
  </si>
  <si>
    <t>Darsham</t>
  </si>
  <si>
    <t>Dunwich</t>
  </si>
  <si>
    <t>Middleton cum Fordley</t>
  </si>
  <si>
    <t>Peasenhall</t>
  </si>
  <si>
    <t>Theberton with Eastbridge</t>
  </si>
  <si>
    <t>Westleton</t>
  </si>
  <si>
    <t>Yoxford</t>
  </si>
  <si>
    <t>The Yoxmere Benefice Total</t>
  </si>
  <si>
    <t>Waveney &amp; Blyth Deanery:</t>
  </si>
  <si>
    <t>Blyford</t>
  </si>
  <si>
    <t>Bramfield</t>
  </si>
  <si>
    <t>Chediston</t>
  </si>
  <si>
    <t>Halesworth</t>
  </si>
  <si>
    <t>Holton St Peter</t>
  </si>
  <si>
    <t>Linstead Parva</t>
  </si>
  <si>
    <t>Spexhall</t>
  </si>
  <si>
    <t>Thorington</t>
  </si>
  <si>
    <t>Wenhaston</t>
  </si>
  <si>
    <t>Wissett</t>
  </si>
  <si>
    <t>Blyth Valley Team Total</t>
  </si>
  <si>
    <t>Barsham w Shipmeadow</t>
  </si>
  <si>
    <t>Bungay</t>
  </si>
  <si>
    <t>Mettingham</t>
  </si>
  <si>
    <t>Bungay Total</t>
  </si>
  <si>
    <t>Cookley</t>
  </si>
  <si>
    <t>Heveningham with Ubbeston</t>
  </si>
  <si>
    <t>Huntingfield</t>
  </si>
  <si>
    <t>Heveningham w Ubbeston, Huntingfield &amp; Cookley Total</t>
  </si>
  <si>
    <t>Brampton</t>
  </si>
  <si>
    <t>Ellough &amp; Weston</t>
  </si>
  <si>
    <t>Ilketshall St Andrew</t>
  </si>
  <si>
    <t>Redisham</t>
  </si>
  <si>
    <t>Ringsfield</t>
  </si>
  <si>
    <t>Shadingfield</t>
  </si>
  <si>
    <t>Stoven</t>
  </si>
  <si>
    <t>Westhall</t>
  </si>
  <si>
    <t>Willingham &amp; Sotterley</t>
  </si>
  <si>
    <t>Hundred River &amp; Wainford Benefice Total</t>
  </si>
  <si>
    <t>Flixton</t>
  </si>
  <si>
    <t>Homersfield</t>
  </si>
  <si>
    <t>Ilketshall St John</t>
  </si>
  <si>
    <t>Ilketshall St Lawrence</t>
  </si>
  <si>
    <t>Ilketshall St Margaret</t>
  </si>
  <si>
    <t>Rumburgh w All Saints Sth Elmham &amp; St Nicholas Sth Elmham</t>
  </si>
  <si>
    <t>St Cross South Elmham</t>
  </si>
  <si>
    <t>St James South Elmham</t>
  </si>
  <si>
    <t>St Margaret South Elmham</t>
  </si>
  <si>
    <t>St Michael South Elmham</t>
  </si>
  <si>
    <t>St Peter South Elmham</t>
  </si>
  <si>
    <t>Beccles St Michael and St Luke</t>
  </si>
  <si>
    <t>Blythburgh</t>
  </si>
  <si>
    <t>Reydon</t>
  </si>
  <si>
    <t>South Cove</t>
  </si>
  <si>
    <t>Southwold</t>
  </si>
  <si>
    <t>Walberswick</t>
  </si>
  <si>
    <t>The Benefice of Sole Bay Total</t>
  </si>
  <si>
    <t>Covehithe with Benacre</t>
  </si>
  <si>
    <t>Frostenden</t>
  </si>
  <si>
    <t>Henstead w Hulver</t>
  </si>
  <si>
    <t>Wrentham</t>
  </si>
  <si>
    <t>The Benefice of Wrentham, Covehithe w Benacre, Henstead w Hulver &amp; Frostenden Total</t>
  </si>
  <si>
    <t>Barnby &amp; North Cove</t>
  </si>
  <si>
    <t>Worlingham</t>
  </si>
  <si>
    <t>Worlingham w Barnby &amp; North Cove Total</t>
  </si>
  <si>
    <t>Woodbridge Deanery:</t>
  </si>
  <si>
    <t>Culpho</t>
  </si>
  <si>
    <t>Great Bealings</t>
  </si>
  <si>
    <t>Melton</t>
  </si>
  <si>
    <t>Ufford</t>
  </si>
  <si>
    <t>Melton &amp; Ufford Total</t>
  </si>
  <si>
    <t>Ashbocking</t>
  </si>
  <si>
    <t>Boulge</t>
  </si>
  <si>
    <t>Burgh</t>
  </si>
  <si>
    <t>Clopton</t>
  </si>
  <si>
    <t>Grundisburgh</t>
  </si>
  <si>
    <t>Hasketon</t>
  </si>
  <si>
    <t>Otley</t>
  </si>
  <si>
    <t>Swilland</t>
  </si>
  <si>
    <t>The Benefice of Carlford Total</t>
  </si>
  <si>
    <t>Alderton</t>
  </si>
  <si>
    <t>Bawdsey</t>
  </si>
  <si>
    <t>Boyton</t>
  </si>
  <si>
    <t>Bromeswell</t>
  </si>
  <si>
    <t>Butley</t>
  </si>
  <si>
    <t>Chillesford</t>
  </si>
  <si>
    <t>Hollesley</t>
  </si>
  <si>
    <t>Iken</t>
  </si>
  <si>
    <t>Orford</t>
  </si>
  <si>
    <t>Ramsholt</t>
  </si>
  <si>
    <t>Rendlesham St Gregory &amp; St Felix</t>
  </si>
  <si>
    <t>Shottisham</t>
  </si>
  <si>
    <t>Sudbourne</t>
  </si>
  <si>
    <t>Tunstall</t>
  </si>
  <si>
    <t>Sutton</t>
  </si>
  <si>
    <t>Wilford Peninsula Total</t>
  </si>
  <si>
    <t>Bredfield</t>
  </si>
  <si>
    <t>Woodbridge St John</t>
  </si>
  <si>
    <t>Woodbridge St John &amp; Bredfield Total</t>
  </si>
  <si>
    <t>Woodbridge St Mary the Virgin</t>
  </si>
  <si>
    <t>Under allocation</t>
  </si>
  <si>
    <t>Lark Valley Benefice</t>
  </si>
  <si>
    <t>Falkenham</t>
  </si>
  <si>
    <t>Thornham Parva</t>
  </si>
  <si>
    <t>Redgrave cum Botesdale with Rickinghall</t>
  </si>
  <si>
    <t>Eyke</t>
  </si>
  <si>
    <t>Brettenham</t>
  </si>
  <si>
    <t>Hitcham</t>
  </si>
  <si>
    <t>Rattlesden</t>
  </si>
  <si>
    <t>Thorpe Morieux</t>
  </si>
  <si>
    <t>Rattlesden w Thorpe Morieux, Brettenham &amp; Hitcham Total</t>
  </si>
  <si>
    <t>100% paid</t>
  </si>
  <si>
    <t>Counts</t>
  </si>
  <si>
    <t>more than 100% paid</t>
  </si>
  <si>
    <t>On Target</t>
  </si>
  <si>
    <t>Paid Nothing</t>
  </si>
  <si>
    <t>On target</t>
  </si>
  <si>
    <t>1 Month behind</t>
  </si>
  <si>
    <t>2 Months behind</t>
  </si>
  <si>
    <t>3 Months behind</t>
  </si>
  <si>
    <t>Paying Entity %</t>
  </si>
  <si>
    <t>Paying Entity</t>
  </si>
  <si>
    <t xml:space="preserve">Paying Entity % </t>
  </si>
  <si>
    <t xml:space="preserve"> </t>
  </si>
  <si>
    <t>Year</t>
  </si>
  <si>
    <t>% of Share paid</t>
  </si>
  <si>
    <t>Share Requested</t>
  </si>
  <si>
    <t>Cash increase Year on Year</t>
  </si>
  <si>
    <t xml:space="preserve">Overall Receipts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</si>
  <si>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</si>
  <si>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</si>
  <si>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</si>
  <si>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</si>
  <si>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</si>
  <si>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</si>
  <si>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</si>
  <si>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</si>
  <si>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</si>
  <si>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</si>
  <si>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</si>
  <si>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</si>
  <si>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</si>
  <si>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Mean</t>
  </si>
  <si>
    <t>Cumulative</t>
  </si>
  <si>
    <t>Forecast</t>
  </si>
  <si>
    <t>Min</t>
  </si>
  <si>
    <t>Med</t>
  </si>
  <si>
    <t>Max</t>
  </si>
  <si>
    <t>Trendr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</si>
  <si>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</si>
  <si>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</si>
  <si>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</si>
  <si>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</si>
  <si>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</si>
  <si>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</si>
  <si>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</si>
  <si>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</si>
  <si>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</si>
  <si>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</si>
  <si>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</si>
  <si>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</si>
  <si>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Parish No.</t>
  </si>
  <si>
    <t>Pakenham w Norton, Tostock, Great Ashfield, Hunston &amp; Stowlangtoft Total</t>
  </si>
  <si>
    <t>Historic Nil Paid</t>
  </si>
  <si>
    <t>-</t>
  </si>
  <si>
    <t>Historic Behind</t>
  </si>
  <si>
    <t>Historic On Target</t>
  </si>
  <si>
    <t>Historic 100% or more</t>
  </si>
  <si>
    <t>Unknown</t>
  </si>
  <si>
    <t>Parish no.</t>
  </si>
  <si>
    <t xml:space="preserve">Parish No. </t>
  </si>
  <si>
    <t xml:space="preserve">Parish no. </t>
  </si>
  <si>
    <t>Sotherton</t>
  </si>
  <si>
    <t>Uggeshall</t>
  </si>
  <si>
    <t>The Saints Total</t>
  </si>
  <si>
    <t>Revised Target</t>
  </si>
  <si>
    <t>Waiver agreed by Finance Committee</t>
  </si>
  <si>
    <t>Original Deanery Total</t>
  </si>
  <si>
    <t>Waiver/ Adjustment</t>
  </si>
  <si>
    <t>Project</t>
  </si>
  <si>
    <t>Year to date</t>
  </si>
  <si>
    <t>B115 - Benefice of Westerfield &amp; Tuddenham St Martin with Witnesham</t>
  </si>
  <si>
    <t>P330003 - Parish of Ashbocking</t>
  </si>
  <si>
    <t>P330005 - Parish of Claydon &amp; Barham</t>
  </si>
  <si>
    <t>P330008 - Parish of Baylham</t>
  </si>
  <si>
    <t>P330009 - Parish of Coddenham</t>
  </si>
  <si>
    <t>P330011 - Parish of Creeting St Peter</t>
  </si>
  <si>
    <t>P330012 - Parish of Crowfield</t>
  </si>
  <si>
    <t>P330013 - Parish of Earl Stonham with Stonham Parva</t>
  </si>
  <si>
    <t>P330015 - Parish of Gosbeck</t>
  </si>
  <si>
    <t>P330019 - Parish of Henley</t>
  </si>
  <si>
    <t>P330021 - Parish of Needham Market with Badley</t>
  </si>
  <si>
    <t>P330024 - Parish of Ringshall</t>
  </si>
  <si>
    <t>P330026 - Parish of Stonham Aspal and Mickfield</t>
  </si>
  <si>
    <t>P330028 - Parish of Swilland</t>
  </si>
  <si>
    <t>P330029 - Parish of Willisham</t>
  </si>
  <si>
    <t>P330032 - Parish of Bucklesham &amp; Foxhall</t>
  </si>
  <si>
    <t>P330033 - Parish of Falkenham</t>
  </si>
  <si>
    <t>P330036 - Parish of Felixstowe St Peter St Paul</t>
  </si>
  <si>
    <t>P330038 - Parish of Hemley</t>
  </si>
  <si>
    <t>P330039 - Parish of Kirton</t>
  </si>
  <si>
    <t>P330040 - Parish of Levington</t>
  </si>
  <si>
    <t>P330041 - Parish of Martlesham</t>
  </si>
  <si>
    <t>P330042 - Parish of Nacton</t>
  </si>
  <si>
    <t>P330043 - Parish of Newbourne</t>
  </si>
  <si>
    <t>P330044 - Parish of Trimley</t>
  </si>
  <si>
    <t>P330046 - Parish of Waldringfield</t>
  </si>
  <si>
    <t>P330047 - Parish of Walton</t>
  </si>
  <si>
    <t>P330049 - Parish of Aldham</t>
  </si>
  <si>
    <t>P330053 - Parish of Hadleigh</t>
  </si>
  <si>
    <t>P330055 - Parish of Hintlesham and Chattisham UP</t>
  </si>
  <si>
    <t>P330374 - Parish of Holton St Peter</t>
  </si>
  <si>
    <t>P330057 - Parish of Kersey</t>
  </si>
  <si>
    <t>P330062 - Parish of Nayland</t>
  </si>
  <si>
    <t>P330066 - Parish of Semer</t>
  </si>
  <si>
    <t>P330067 - Parish of Shelley</t>
  </si>
  <si>
    <t>P330069 - Parish of Great Wenham</t>
  </si>
  <si>
    <t>P330071 - Parish of Wissington</t>
  </si>
  <si>
    <t>P330073 - Parish of Bramford</t>
  </si>
  <si>
    <t>P330074 - Parish of Ipswich All Hallows</t>
  </si>
  <si>
    <t>P330077 - Parish of Ipswich St Clements</t>
  </si>
  <si>
    <t>P330078 - Parish of Ipswich St Andrew</t>
  </si>
  <si>
    <t>P330079 - Parish of Ipswich St Augustine of Hippo</t>
  </si>
  <si>
    <t>P330080 - Parish of Ipswich St Bartholomew</t>
  </si>
  <si>
    <t>P330084 - Parish of Ipswich St John the Baptist</t>
  </si>
  <si>
    <t>P330086 - Parish of Ipswich St Mary-at-the-Elms</t>
  </si>
  <si>
    <t>P330088 - Parish of Ipswich SWITM</t>
  </si>
  <si>
    <t>P330092 - Parish of Ipswich St Thomas</t>
  </si>
  <si>
    <t>P330093 - Parish of Kesgrave</t>
  </si>
  <si>
    <t>P330097 - Parish of Whitton</t>
  </si>
  <si>
    <t>P330100 - Parish of Bentley</t>
  </si>
  <si>
    <t>P330101 - Parish of East Bergholt</t>
  </si>
  <si>
    <t>P330102 - Parish of Brantham</t>
  </si>
  <si>
    <t>P330106 - Parish of Chelmondiston</t>
  </si>
  <si>
    <t>P330107 - Parish of Copdock with Washbrook</t>
  </si>
  <si>
    <t>P330108 - Parish of Erwarton</t>
  </si>
  <si>
    <t>P330109 - Parish of Freston</t>
  </si>
  <si>
    <t>P330112 - Parish of Shotley</t>
  </si>
  <si>
    <t>P330113 - Parish of Sproughton</t>
  </si>
  <si>
    <t>P330115 - Parish of Tattingstone</t>
  </si>
  <si>
    <t>P330117 - Parish of Wherstead</t>
  </si>
  <si>
    <t>P330119 - Parish of Bacton</t>
  </si>
  <si>
    <t>P330121 - Parish of Combs</t>
  </si>
  <si>
    <t>P330122 - Parish of Cotton</t>
  </si>
  <si>
    <t>P330124 - Parish of Great Finborough</t>
  </si>
  <si>
    <t>P330125 - Parish of Harleston</t>
  </si>
  <si>
    <t>P330126 - Parish of Haughley</t>
  </si>
  <si>
    <t>P330127 - Parish of Mendlesham</t>
  </si>
  <si>
    <t>P330128 - Parish of Old Newton</t>
  </si>
  <si>
    <t>P330131 - Parish of Shelland</t>
  </si>
  <si>
    <t>P330132 - Parish of Stoke Ash with Thwaite</t>
  </si>
  <si>
    <t>P330133 - Parish of Stowmarket</t>
  </si>
  <si>
    <t>P330134 - Parish of Stowupland</t>
  </si>
  <si>
    <t>P330137 - Parish of Wetherden</t>
  </si>
  <si>
    <t>P330138 - Parish of Wetheringsett cum Brockford</t>
  </si>
  <si>
    <t>P330139 - Parish of Wickham Skeith</t>
  </si>
  <si>
    <t>P330140 - Parish of Wyverstone</t>
  </si>
  <si>
    <t>P330142 - Parish of Bawdsey</t>
  </si>
  <si>
    <t>P330146 - Parish of Bromeswell</t>
  </si>
  <si>
    <t>P330147 - Parish of Burgh</t>
  </si>
  <si>
    <t>P330150 - Parish of Clopton</t>
  </si>
  <si>
    <t>P330154 - Parish of Grundisburgh</t>
  </si>
  <si>
    <t>P330155 - Parish of Hasketon</t>
  </si>
  <si>
    <t>P330157 - Parish of Iken</t>
  </si>
  <si>
    <t>P330159 - Parish of Orford</t>
  </si>
  <si>
    <t>P330160 - Parish of Otley</t>
  </si>
  <si>
    <t>P330164 - Parish of Shottisham</t>
  </si>
  <si>
    <t>P330165 - Parish of Sudbourne</t>
  </si>
  <si>
    <t>P330167 - Parish of Tunstall</t>
  </si>
  <si>
    <t>P330168 - Parish of Ufford</t>
  </si>
  <si>
    <t>P330170 - Parish of Woodbridge St John</t>
  </si>
  <si>
    <t>P330171 - Parish of Woodbridge St Mary</t>
  </si>
  <si>
    <t>P330175 - Parish of Clare with Poslingford UP</t>
  </si>
  <si>
    <t>P330177 - Parish of Depden</t>
  </si>
  <si>
    <t>P330180 - Parish of Haverhill</t>
  </si>
  <si>
    <t>P330181 - Parish of Hawkedon</t>
  </si>
  <si>
    <t>P330182 - Parish of Hundon</t>
  </si>
  <si>
    <t>P330187 - Parish of Rede</t>
  </si>
  <si>
    <t>P330189 - Parish of Stoke by Clare</t>
  </si>
  <si>
    <t>P330191 - Parish of Wickhambrook</t>
  </si>
  <si>
    <t>P330193 - Parish of Wixoe</t>
  </si>
  <si>
    <t>P330197 - Parish of Bardwell</t>
  </si>
  <si>
    <t>P330199 - Parish of Barningham</t>
  </si>
  <si>
    <t>P330206 - Parish of Hinderclay</t>
  </si>
  <si>
    <t>P330214 - Parish of Norton</t>
  </si>
  <si>
    <t>P330215 - Parish of Pakenham</t>
  </si>
  <si>
    <t>P330219 - Parish of Thurston</t>
  </si>
  <si>
    <t>P330220 - Parish of Tostock</t>
  </si>
  <si>
    <t>P330225 - Parish of Bradfield St Clare</t>
  </si>
  <si>
    <t>P330226 - Parish of Bradfield St George &amp; Lt. Whelnetham UP</t>
  </si>
  <si>
    <t>P330229 - Parish of Chelsworth</t>
  </si>
  <si>
    <t>P330230 - Parish of Cockfield</t>
  </si>
  <si>
    <t>P330231 - Parish of Drinkstone</t>
  </si>
  <si>
    <t>P330232 - Parish of Elmswell</t>
  </si>
  <si>
    <t>P330233 - Parish of Felsham</t>
  </si>
  <si>
    <t>P330234 - Parish of Gedding</t>
  </si>
  <si>
    <t>P330239 - Parish of Lavenham</t>
  </si>
  <si>
    <t>P330241 - Parish of Little Finborough</t>
  </si>
  <si>
    <t>P330244 - Parish of Monks Eleigh</t>
  </si>
  <si>
    <t>P330246 - Parish of Rattlesden</t>
  </si>
  <si>
    <t>P330250 - Parish of Woolpit</t>
  </si>
  <si>
    <t>P330251 - Parish of Barton Mills</t>
  </si>
  <si>
    <t>P330254 - Parish of Brandon with Wangford</t>
  </si>
  <si>
    <t>P330258 - Parish of Dalham</t>
  </si>
  <si>
    <t>P330261 - Parish of Exning St Agnes</t>
  </si>
  <si>
    <t>P330262 - Parish of Exning St Martin with the Chapel of Landwade</t>
  </si>
  <si>
    <t>P330268 - Parish of Icklingham</t>
  </si>
  <si>
    <t>P330270 - Parish of Lakenheath</t>
  </si>
  <si>
    <t>P330272 - Parish of Mildenhall</t>
  </si>
  <si>
    <t>P330273 - Parish of Moulton</t>
  </si>
  <si>
    <t>P330277 - Parish of Santon Downham</t>
  </si>
  <si>
    <t>P330279 - Parish of Tuddenham with Cavenham</t>
  </si>
  <si>
    <t>P330280 - Parish of West Row</t>
  </si>
  <si>
    <t>P330281 - Parish of Worlington</t>
  </si>
  <si>
    <t>P330284 - Parish of Assington</t>
  </si>
  <si>
    <t>P330285 - Parish of Boxford</t>
  </si>
  <si>
    <t>P330286 - Parish of Bures</t>
  </si>
  <si>
    <t>P330288 - Parish of Great Cornard</t>
  </si>
  <si>
    <t>P330289 - Parish of Little Cornard</t>
  </si>
  <si>
    <t>P330291 - Parish of Glemsford</t>
  </si>
  <si>
    <t>P330292 - Parish of Great Waldingfield</t>
  </si>
  <si>
    <t>P330296 - Parish of Long Melford</t>
  </si>
  <si>
    <t>P330298 - Parish of Newton Green</t>
  </si>
  <si>
    <t>P330303 - Parish of Sudbury St Gregory</t>
  </si>
  <si>
    <t>P330306 - Parish of Barrow</t>
  </si>
  <si>
    <t>P330308 - Parish of Brockley</t>
  </si>
  <si>
    <t>P330309 - Parish of Bury St Edmunds All Saints</t>
  </si>
  <si>
    <t>P330310 - Parish of Bury St Edmunds St George</t>
  </si>
  <si>
    <t>P330311 - Parish of Bury St Edmunds St John</t>
  </si>
  <si>
    <t>P330312 - Parish of Bury St Edmunds St Mary</t>
  </si>
  <si>
    <t>P330314 - Parish of Chevington</t>
  </si>
  <si>
    <t>P330320 - Parish of Great Barton</t>
  </si>
  <si>
    <t>P330324 - Parish of Hargrave</t>
  </si>
  <si>
    <t>P330330 - Parish of Risby</t>
  </si>
  <si>
    <t>P330333 - Parish of Westley</t>
  </si>
  <si>
    <t>P330335 - Parish of Whepstead</t>
  </si>
  <si>
    <t>P330338 - Parish of Beccles</t>
  </si>
  <si>
    <t>P330345 - Parish of Ilketshall St John</t>
  </si>
  <si>
    <t>P330347 - Parish of Ilketshall St Margaret</t>
  </si>
  <si>
    <t>P330350 - Parish of Ringsfield</t>
  </si>
  <si>
    <t>P330352 - Parish of Shadingfield</t>
  </si>
  <si>
    <t>P330366 - Parish of Brampton</t>
  </si>
  <si>
    <t>P330370 - Parish of Cratfield</t>
  </si>
  <si>
    <t>P330378 - Parish of Sotherton</t>
  </si>
  <si>
    <t>P330380 - Parish of Southwold</t>
  </si>
  <si>
    <t>P330381 - Parish of Spexhall</t>
  </si>
  <si>
    <t>P330383 - Parish of Thorington</t>
  </si>
  <si>
    <t>P330384 - Parish of Uggeshall</t>
  </si>
  <si>
    <t>P330385 - Parish of Walberswick</t>
  </si>
  <si>
    <t>P330390 - Parish of Wissett</t>
  </si>
  <si>
    <t>P330392 - Parish of Bedingfield</t>
  </si>
  <si>
    <t>P330395 - Parish of Burgate</t>
  </si>
  <si>
    <t>P330396 - Parish of Eye with Braiseworth</t>
  </si>
  <si>
    <t>P330397 - Parish of Gislingham</t>
  </si>
  <si>
    <t>P330398 - Parish of Mellis</t>
  </si>
  <si>
    <t>P330399 - Parish of Occold</t>
  </si>
  <si>
    <t>P330400 - Parish of Palgrave</t>
  </si>
  <si>
    <t>P330401 - Parish of Redgrave cum Botesdale with the Rickinghalls</t>
  </si>
  <si>
    <t>P330406 - Parish of Thorndon with Rishangles</t>
  </si>
  <si>
    <t>P330407 - Parish of Thornham Magna</t>
  </si>
  <si>
    <t>P330408 - Parish of Thornham Parva</t>
  </si>
  <si>
    <t>P330410 - Parish of Wortham</t>
  </si>
  <si>
    <t>P330411 - Parish of Yaxley</t>
  </si>
  <si>
    <t>P330413 - Parish of Bedfield</t>
  </si>
  <si>
    <t>P330416 - Parish of Fressingfield</t>
  </si>
  <si>
    <t>P330420 - Parish of Mendham</t>
  </si>
  <si>
    <t>P330424 - Parish of Syleham</t>
  </si>
  <si>
    <t>P330425 - Parish of Tannington</t>
  </si>
  <si>
    <t>P330427 - Parish of Wilby</t>
  </si>
  <si>
    <t>P330428 - Parish of Wingfield</t>
  </si>
  <si>
    <t>P330431 - Parish of Ashfield cum Thorpe</t>
  </si>
  <si>
    <t>P330433 - Parish of Badingham</t>
  </si>
  <si>
    <t>P330434 - Parish of Bruisyard</t>
  </si>
  <si>
    <t>P330436 - Parish of Campsea Ashe</t>
  </si>
  <si>
    <t>P330439 - Parish of Cretingham</t>
  </si>
  <si>
    <t>P330442 - Parish of Dennington</t>
  </si>
  <si>
    <t>P330443 - Parish of Earl Soham</t>
  </si>
  <si>
    <t>P330444 - Parish of Easton</t>
  </si>
  <si>
    <t>P330445 - Parish of Framlingham</t>
  </si>
  <si>
    <t>P330448 - Parish of Helmingham</t>
  </si>
  <si>
    <t>P330450 - Parish of Kenton</t>
  </si>
  <si>
    <t>P330453 - Parish of Marlesford</t>
  </si>
  <si>
    <t>P330454 - Parish of Monewden</t>
  </si>
  <si>
    <t>P330456 - Parish of Pettaugh</t>
  </si>
  <si>
    <t>P330457 - Parish of Pettistree</t>
  </si>
  <si>
    <t>P330458 - Parish of Saxtead</t>
  </si>
  <si>
    <t>P330459 - Parish of Wickham Market</t>
  </si>
  <si>
    <t>P330460 - Parish of Winston</t>
  </si>
  <si>
    <t>P330461 - Parish of Aldeburgh</t>
  </si>
  <si>
    <t>P330462 - Parish of Aldringham with Thorpe</t>
  </si>
  <si>
    <t>P330463 - Parish of Benhall</t>
  </si>
  <si>
    <t>P330464 - Parish of Blaxhall</t>
  </si>
  <si>
    <t>P330466 - Parish of Dunwich</t>
  </si>
  <si>
    <t>P330467 - Parish of Farnham &amp; Stratford St Andrew</t>
  </si>
  <si>
    <t>P330469 - Parish of Great Glemham</t>
  </si>
  <si>
    <t>P330473 - Parish of Leiston</t>
  </si>
  <si>
    <t>P330474 - Parish of Little Glemham</t>
  </si>
  <si>
    <t>P330477 - Parish of Rendham</t>
  </si>
  <si>
    <t>P330478 - Parish of Saxmundham</t>
  </si>
  <si>
    <t>P330483 - Parish of Sweffling</t>
  </si>
  <si>
    <t>P330484 - Parish of Theberton with Eastbridge</t>
  </si>
  <si>
    <t>P330485 - Parish of Westleton</t>
  </si>
  <si>
    <t>P330491 - Parish of Melton</t>
  </si>
  <si>
    <t>P330500 - Parish of Felixstowe Christchurch</t>
  </si>
  <si>
    <t>C330075 - Church of All Saints,Ipswich St Matthew</t>
  </si>
  <si>
    <t>C330493 - Church of Triangle,Ipswich St Matthew</t>
  </si>
  <si>
    <t xml:space="preserve">B029 </t>
  </si>
  <si>
    <t xml:space="preserve">P330008 </t>
  </si>
  <si>
    <t xml:space="preserve">P330073 </t>
  </si>
  <si>
    <t xml:space="preserve">P330020 </t>
  </si>
  <si>
    <t xml:space="preserve">P330022 </t>
  </si>
  <si>
    <t xml:space="preserve">P330005 </t>
  </si>
  <si>
    <t xml:space="preserve">P330016 </t>
  </si>
  <si>
    <t xml:space="preserve">P330019 </t>
  </si>
  <si>
    <t xml:space="preserve">B039 </t>
  </si>
  <si>
    <t xml:space="preserve">P330009 </t>
  </si>
  <si>
    <t xml:space="preserve">P330010 </t>
  </si>
  <si>
    <t xml:space="preserve">P330011 </t>
  </si>
  <si>
    <t xml:space="preserve">P330012 </t>
  </si>
  <si>
    <t xml:space="preserve">P330013 </t>
  </si>
  <si>
    <t xml:space="preserve">P330015 </t>
  </si>
  <si>
    <t xml:space="preserve">P330038 </t>
  </si>
  <si>
    <t xml:space="preserve">P330026 </t>
  </si>
  <si>
    <t xml:space="preserve">B089 </t>
  </si>
  <si>
    <t xml:space="preserve">P330021 </t>
  </si>
  <si>
    <t xml:space="preserve">P330006 </t>
  </si>
  <si>
    <t xml:space="preserve">P330007 </t>
  </si>
  <si>
    <t xml:space="preserve">P330014 </t>
  </si>
  <si>
    <t xml:space="preserve">P330017 </t>
  </si>
  <si>
    <t xml:space="preserve">P330023 </t>
  </si>
  <si>
    <t xml:space="preserve">P330024 </t>
  </si>
  <si>
    <t xml:space="preserve">P330025 </t>
  </si>
  <si>
    <t xml:space="preserve">P330029 </t>
  </si>
  <si>
    <t xml:space="preserve">B099 </t>
  </si>
  <si>
    <t xml:space="preserve">P330180 </t>
  </si>
  <si>
    <t xml:space="preserve">P330192 </t>
  </si>
  <si>
    <t xml:space="preserve">B062 </t>
  </si>
  <si>
    <t xml:space="preserve">P330172 </t>
  </si>
  <si>
    <t xml:space="preserve">P330178 </t>
  </si>
  <si>
    <t xml:space="preserve">P330179 </t>
  </si>
  <si>
    <t xml:space="preserve">P330194 </t>
  </si>
  <si>
    <t xml:space="preserve">P330183 </t>
  </si>
  <si>
    <t xml:space="preserve">P330184 </t>
  </si>
  <si>
    <t xml:space="preserve">P330185 </t>
  </si>
  <si>
    <t xml:space="preserve">P330195 </t>
  </si>
  <si>
    <t xml:space="preserve">B104 </t>
  </si>
  <si>
    <t xml:space="preserve">P330257 </t>
  </si>
  <si>
    <t xml:space="preserve">P330176 </t>
  </si>
  <si>
    <t xml:space="preserve">P330271 </t>
  </si>
  <si>
    <t xml:space="preserve">P330276 </t>
  </si>
  <si>
    <t xml:space="preserve">P330188 </t>
  </si>
  <si>
    <t xml:space="preserve">P330190 </t>
  </si>
  <si>
    <t xml:space="preserve">P330191 </t>
  </si>
  <si>
    <t xml:space="preserve">B002 </t>
  </si>
  <si>
    <t xml:space="preserve">P330174 </t>
  </si>
  <si>
    <t xml:space="preserve">P330314 </t>
  </si>
  <si>
    <t xml:space="preserve">P330177 </t>
  </si>
  <si>
    <t xml:space="preserve">P330324 </t>
  </si>
  <si>
    <t xml:space="preserve">P330181 </t>
  </si>
  <si>
    <t xml:space="preserve">P330187 </t>
  </si>
  <si>
    <t xml:space="preserve">B013 </t>
  </si>
  <si>
    <t xml:space="preserve">P330173 </t>
  </si>
  <si>
    <t xml:space="preserve">P330175 </t>
  </si>
  <si>
    <t xml:space="preserve">P330182 </t>
  </si>
  <si>
    <t xml:space="preserve">P330189 </t>
  </si>
  <si>
    <t xml:space="preserve">P330193 </t>
  </si>
  <si>
    <t xml:space="preserve">B015 </t>
  </si>
  <si>
    <t xml:space="preserve">P330050 </t>
  </si>
  <si>
    <t xml:space="preserve">P330060 </t>
  </si>
  <si>
    <t xml:space="preserve">P330061 </t>
  </si>
  <si>
    <t xml:space="preserve">P330063 </t>
  </si>
  <si>
    <t xml:space="preserve">P330066 </t>
  </si>
  <si>
    <t xml:space="preserve">P330070 </t>
  </si>
  <si>
    <t xml:space="preserve">P330049 </t>
  </si>
  <si>
    <t xml:space="preserve">P330052 </t>
  </si>
  <si>
    <t xml:space="preserve">P330055 </t>
  </si>
  <si>
    <t xml:space="preserve">P330057 </t>
  </si>
  <si>
    <t xml:space="preserve">P330053 </t>
  </si>
  <si>
    <t xml:space="preserve">P330058 </t>
  </si>
  <si>
    <t xml:space="preserve">P330067 </t>
  </si>
  <si>
    <t xml:space="preserve">P330054 </t>
  </si>
  <si>
    <t xml:space="preserve">P330056 </t>
  </si>
  <si>
    <t xml:space="preserve">P330065 </t>
  </si>
  <si>
    <t xml:space="preserve">P330072 </t>
  </si>
  <si>
    <t xml:space="preserve">B064 </t>
  </si>
  <si>
    <t xml:space="preserve">P330059 </t>
  </si>
  <si>
    <t xml:space="preserve">P330062 </t>
  </si>
  <si>
    <t xml:space="preserve">P330064 </t>
  </si>
  <si>
    <t xml:space="preserve">P330068 </t>
  </si>
  <si>
    <t xml:space="preserve">P330071 </t>
  </si>
  <si>
    <t xml:space="preserve">B103 </t>
  </si>
  <si>
    <t xml:space="preserve">P330196 </t>
  </si>
  <si>
    <t xml:space="preserve">P330123 </t>
  </si>
  <si>
    <t xml:space="preserve">P330212 </t>
  </si>
  <si>
    <t xml:space="preserve">P330222 </t>
  </si>
  <si>
    <t xml:space="preserve">P330223 </t>
  </si>
  <si>
    <t xml:space="preserve">P330136 </t>
  </si>
  <si>
    <t xml:space="preserve">B023 </t>
  </si>
  <si>
    <t xml:space="preserve">P330197 </t>
  </si>
  <si>
    <t xml:space="preserve">P330198 </t>
  </si>
  <si>
    <t xml:space="preserve">P330201 </t>
  </si>
  <si>
    <t xml:space="preserve">P330202 </t>
  </si>
  <si>
    <t xml:space="preserve">P330207 </t>
  </si>
  <si>
    <t xml:space="preserve">P330326 </t>
  </si>
  <si>
    <t xml:space="preserve">P330210 </t>
  </si>
  <si>
    <t xml:space="preserve">P330221 </t>
  </si>
  <si>
    <t xml:space="preserve">B025 </t>
  </si>
  <si>
    <t xml:space="preserve">P330203 </t>
  </si>
  <si>
    <t xml:space="preserve">P330209 </t>
  </si>
  <si>
    <t xml:space="preserve">P330214 </t>
  </si>
  <si>
    <t xml:space="preserve">P330215 </t>
  </si>
  <si>
    <t xml:space="preserve">P330217 </t>
  </si>
  <si>
    <t xml:space="preserve">P330220 </t>
  </si>
  <si>
    <t xml:space="preserve">B090 </t>
  </si>
  <si>
    <t xml:space="preserve">P330199 </t>
  </si>
  <si>
    <t xml:space="preserve">P330200 </t>
  </si>
  <si>
    <t xml:space="preserve">P330205 </t>
  </si>
  <si>
    <t xml:space="preserve">P330206 </t>
  </si>
  <si>
    <t xml:space="preserve">P330208 </t>
  </si>
  <si>
    <t xml:space="preserve">P330213 </t>
  </si>
  <si>
    <t xml:space="preserve">P330216 </t>
  </si>
  <si>
    <t xml:space="preserve">P330218 </t>
  </si>
  <si>
    <t xml:space="preserve">B102 </t>
  </si>
  <si>
    <t xml:space="preserve">P330307 </t>
  </si>
  <si>
    <t xml:space="preserve">P330226 </t>
  </si>
  <si>
    <t xml:space="preserve">P330230 </t>
  </si>
  <si>
    <t xml:space="preserve">P330233 </t>
  </si>
  <si>
    <t xml:space="preserve">P330234 </t>
  </si>
  <si>
    <t xml:space="preserve">B028 </t>
  </si>
  <si>
    <t xml:space="preserve">P330232 </t>
  </si>
  <si>
    <t xml:space="preserve">P330239 </t>
  </si>
  <si>
    <t xml:space="preserve">P330245 </t>
  </si>
  <si>
    <t xml:space="preserve">B079 </t>
  </si>
  <si>
    <t xml:space="preserve">P330227 </t>
  </si>
  <si>
    <t xml:space="preserve">P330229 </t>
  </si>
  <si>
    <t xml:space="preserve">P330451 </t>
  </si>
  <si>
    <t xml:space="preserve">P330243 </t>
  </si>
  <si>
    <t xml:space="preserve">P330244 </t>
  </si>
  <si>
    <t xml:space="preserve">B085 </t>
  </si>
  <si>
    <t xml:space="preserve">P330228 </t>
  </si>
  <si>
    <t xml:space="preserve">P330237 </t>
  </si>
  <si>
    <t xml:space="preserve">P330246 </t>
  </si>
  <si>
    <t xml:space="preserve">P330249 </t>
  </si>
  <si>
    <t xml:space="preserve">B091 </t>
  </si>
  <si>
    <t xml:space="preserve">P330224 </t>
  </si>
  <si>
    <t xml:space="preserve">P330247 </t>
  </si>
  <si>
    <t xml:space="preserve">B094 </t>
  </si>
  <si>
    <t xml:space="preserve">P330235 </t>
  </si>
  <si>
    <t xml:space="preserve">P330325 </t>
  </si>
  <si>
    <t xml:space="preserve">P330240 </t>
  </si>
  <si>
    <t xml:space="preserve">P330329 </t>
  </si>
  <si>
    <t xml:space="preserve">P330331 </t>
  </si>
  <si>
    <t xml:space="preserve">B110 </t>
  </si>
  <si>
    <t xml:space="preserve">P330231 </t>
  </si>
  <si>
    <t xml:space="preserve">P330250 </t>
  </si>
  <si>
    <t xml:space="preserve">B121 </t>
  </si>
  <si>
    <t xml:space="preserve">P330225 </t>
  </si>
  <si>
    <t xml:space="preserve">P330238 </t>
  </si>
  <si>
    <t xml:space="preserve">P330254 </t>
  </si>
  <si>
    <t xml:space="preserve">P330259 </t>
  </si>
  <si>
    <t xml:space="preserve">P330270 </t>
  </si>
  <si>
    <t xml:space="preserve">P330277 </t>
  </si>
  <si>
    <t xml:space="preserve">B096 </t>
  </si>
  <si>
    <t xml:space="preserve">P330262 </t>
  </si>
  <si>
    <t xml:space="preserve">P330251 </t>
  </si>
  <si>
    <t xml:space="preserve">P330252 </t>
  </si>
  <si>
    <t xml:space="preserve">P330258 </t>
  </si>
  <si>
    <t xml:space="preserve">P330260 </t>
  </si>
  <si>
    <t xml:space="preserve">P330264 </t>
  </si>
  <si>
    <t xml:space="preserve">P330265 </t>
  </si>
  <si>
    <t xml:space="preserve">P330266 </t>
  </si>
  <si>
    <t xml:space="preserve">P330267 </t>
  </si>
  <si>
    <t xml:space="preserve">P330268 </t>
  </si>
  <si>
    <t xml:space="preserve">P330269 </t>
  </si>
  <si>
    <t xml:space="preserve">P330272 </t>
  </si>
  <si>
    <t xml:space="preserve">P330273 </t>
  </si>
  <si>
    <t xml:space="preserve">P330279 </t>
  </si>
  <si>
    <t xml:space="preserve">P330280 </t>
  </si>
  <si>
    <t xml:space="preserve">P330281 </t>
  </si>
  <si>
    <t xml:space="preserve">B045 </t>
  </si>
  <si>
    <t xml:space="preserve">P330274 </t>
  </si>
  <si>
    <t xml:space="preserve">P330261 </t>
  </si>
  <si>
    <t xml:space="preserve">P330275 </t>
  </si>
  <si>
    <t xml:space="preserve">B088 </t>
  </si>
  <si>
    <t xml:space="preserve">P330119 </t>
  </si>
  <si>
    <t xml:space="preserve">P330122 </t>
  </si>
  <si>
    <t xml:space="preserve">P330128 </t>
  </si>
  <si>
    <t xml:space="preserve">P330139 </t>
  </si>
  <si>
    <t xml:space="preserve">P330140 </t>
  </si>
  <si>
    <t xml:space="preserve">B022 </t>
  </si>
  <si>
    <t xml:space="preserve">P330121 </t>
  </si>
  <si>
    <t xml:space="preserve">P330241 </t>
  </si>
  <si>
    <t xml:space="preserve">P330120 </t>
  </si>
  <si>
    <t xml:space="preserve">P330124 </t>
  </si>
  <si>
    <t xml:space="preserve">P330125 </t>
  </si>
  <si>
    <t xml:space="preserve">P330130 </t>
  </si>
  <si>
    <t xml:space="preserve">P330131 </t>
  </si>
  <si>
    <t xml:space="preserve">B059 </t>
  </si>
  <si>
    <t xml:space="preserve">P330126 </t>
  </si>
  <si>
    <t xml:space="preserve">P330134 </t>
  </si>
  <si>
    <t xml:space="preserve">P330137 </t>
  </si>
  <si>
    <t xml:space="preserve">B061 </t>
  </si>
  <si>
    <t xml:space="preserve">P330127 </t>
  </si>
  <si>
    <t xml:space="preserve">P330133 </t>
  </si>
  <si>
    <t xml:space="preserve">P330282 </t>
  </si>
  <si>
    <t xml:space="preserve">P330292 </t>
  </si>
  <si>
    <t xml:space="preserve">B018 </t>
  </si>
  <si>
    <t xml:space="preserve">P330285 </t>
  </si>
  <si>
    <t xml:space="preserve">P330290 </t>
  </si>
  <si>
    <t xml:space="preserve">P330293 </t>
  </si>
  <si>
    <t xml:space="preserve">P330304 </t>
  </si>
  <si>
    <t xml:space="preserve">P330298 </t>
  </si>
  <si>
    <t xml:space="preserve">B027 </t>
  </si>
  <si>
    <t xml:space="preserve">P330284 </t>
  </si>
  <si>
    <t xml:space="preserve">P330286 </t>
  </si>
  <si>
    <t xml:space="preserve">P330289 </t>
  </si>
  <si>
    <t xml:space="preserve">B032 </t>
  </si>
  <si>
    <t xml:space="preserve">P330291 </t>
  </si>
  <si>
    <t xml:space="preserve">P330294 </t>
  </si>
  <si>
    <t xml:space="preserve">P330300 </t>
  </si>
  <si>
    <t xml:space="preserve">P330301 </t>
  </si>
  <si>
    <t xml:space="preserve">B054 </t>
  </si>
  <si>
    <t xml:space="preserve">P330288 </t>
  </si>
  <si>
    <t xml:space="preserve">P330302 </t>
  </si>
  <si>
    <t xml:space="preserve">P330303 </t>
  </si>
  <si>
    <t xml:space="preserve">P330283 </t>
  </si>
  <si>
    <t xml:space="preserve">P330296 </t>
  </si>
  <si>
    <t xml:space="preserve">B006 </t>
  </si>
  <si>
    <t xml:space="preserve">P330494 </t>
  </si>
  <si>
    <t xml:space="preserve">P330312 </t>
  </si>
  <si>
    <t xml:space="preserve">P330320 </t>
  </si>
  <si>
    <t xml:space="preserve">P330219 </t>
  </si>
  <si>
    <t xml:space="preserve">B055 </t>
  </si>
  <si>
    <t xml:space="preserve">P330308 </t>
  </si>
  <si>
    <t xml:space="preserve">P330321 </t>
  </si>
  <si>
    <t xml:space="preserve">P330333 </t>
  </si>
  <si>
    <t xml:space="preserve">P330335 </t>
  </si>
  <si>
    <t xml:space="preserve">B065 </t>
  </si>
  <si>
    <t xml:space="preserve">P330306 </t>
  </si>
  <si>
    <t xml:space="preserve">P330316 </t>
  </si>
  <si>
    <t xml:space="preserve">P330323 </t>
  </si>
  <si>
    <t xml:space="preserve">P330328 </t>
  </si>
  <si>
    <t xml:space="preserve">P330330 </t>
  </si>
  <si>
    <t xml:space="preserve">B003 </t>
  </si>
  <si>
    <t xml:space="preserve">P330309 </t>
  </si>
  <si>
    <t xml:space="preserve">P330310 </t>
  </si>
  <si>
    <t xml:space="preserve">P330311 </t>
  </si>
  <si>
    <t xml:space="preserve">B078 </t>
  </si>
  <si>
    <t xml:space="preserve">P330034 </t>
  </si>
  <si>
    <t xml:space="preserve">P330036 </t>
  </si>
  <si>
    <t xml:space="preserve">P330093 </t>
  </si>
  <si>
    <t xml:space="preserve">P330031 </t>
  </si>
  <si>
    <t xml:space="preserve">P330041 </t>
  </si>
  <si>
    <t xml:space="preserve">B081 </t>
  </si>
  <si>
    <t xml:space="preserve">P330500 </t>
  </si>
  <si>
    <t xml:space="preserve">P330044 </t>
  </si>
  <si>
    <t xml:space="preserve">P330047 </t>
  </si>
  <si>
    <t xml:space="preserve">B016 </t>
  </si>
  <si>
    <t xml:space="preserve">P330032 </t>
  </si>
  <si>
    <t xml:space="preserve">P330033 </t>
  </si>
  <si>
    <t xml:space="preserve">P330039 </t>
  </si>
  <si>
    <t xml:space="preserve">P330040 </t>
  </si>
  <si>
    <t xml:space="preserve">P330042 </t>
  </si>
  <si>
    <t xml:space="preserve">P330043 </t>
  </si>
  <si>
    <t xml:space="preserve">P330046 </t>
  </si>
  <si>
    <t xml:space="preserve">B041 </t>
  </si>
  <si>
    <t xml:space="preserve">P330392 </t>
  </si>
  <si>
    <t xml:space="preserve">P330396 </t>
  </si>
  <si>
    <t xml:space="preserve">P330399 </t>
  </si>
  <si>
    <t xml:space="preserve">B050 </t>
  </si>
  <si>
    <t xml:space="preserve">P330393 </t>
  </si>
  <si>
    <t xml:space="preserve">P330395 </t>
  </si>
  <si>
    <t xml:space="preserve">P330400 </t>
  </si>
  <si>
    <t xml:space="preserve">P330405 </t>
  </si>
  <si>
    <t xml:space="preserve">P330409 </t>
  </si>
  <si>
    <t xml:space="preserve">P330410 </t>
  </si>
  <si>
    <t xml:space="preserve">P330401 </t>
  </si>
  <si>
    <t xml:space="preserve">P330397 </t>
  </si>
  <si>
    <t xml:space="preserve">P330398 </t>
  </si>
  <si>
    <t xml:space="preserve">P330132 </t>
  </si>
  <si>
    <t xml:space="preserve">P330406 </t>
  </si>
  <si>
    <t xml:space="preserve">P330407 </t>
  </si>
  <si>
    <t xml:space="preserve">P330408 </t>
  </si>
  <si>
    <t xml:space="preserve">P330138 </t>
  </si>
  <si>
    <t xml:space="preserve">P330411 </t>
  </si>
  <si>
    <t xml:space="preserve">B100 </t>
  </si>
  <si>
    <t xml:space="preserve">P330412 </t>
  </si>
  <si>
    <t xml:space="preserve">P330415 </t>
  </si>
  <si>
    <t xml:space="preserve">P330417 </t>
  </si>
  <si>
    <t xml:space="preserve">P330418 </t>
  </si>
  <si>
    <t xml:space="preserve">P330403 </t>
  </si>
  <si>
    <t xml:space="preserve">P330424 </t>
  </si>
  <si>
    <t xml:space="preserve">P330428 </t>
  </si>
  <si>
    <t xml:space="preserve">B001 </t>
  </si>
  <si>
    <t xml:space="preserve">P330413 </t>
  </si>
  <si>
    <t xml:space="preserve">P330414 </t>
  </si>
  <si>
    <t xml:space="preserve">P330370 </t>
  </si>
  <si>
    <t xml:space="preserve">P330419 </t>
  </si>
  <si>
    <t xml:space="preserve">P330422 </t>
  </si>
  <si>
    <t xml:space="preserve">P330425 </t>
  </si>
  <si>
    <t xml:space="preserve">P330427 </t>
  </si>
  <si>
    <t xml:space="preserve">B009 </t>
  </si>
  <si>
    <t xml:space="preserve">P330416 </t>
  </si>
  <si>
    <t xml:space="preserve">P330420 </t>
  </si>
  <si>
    <t xml:space="preserve">P330421 </t>
  </si>
  <si>
    <t xml:space="preserve">P330423 </t>
  </si>
  <si>
    <t xml:space="preserve">P330426 </t>
  </si>
  <si>
    <t xml:space="preserve">P330429 </t>
  </si>
  <si>
    <t xml:space="preserve">B012 </t>
  </si>
  <si>
    <t xml:space="preserve">P330074 </t>
  </si>
  <si>
    <t xml:space="preserve">B068 </t>
  </si>
  <si>
    <t xml:space="preserve">P330079 </t>
  </si>
  <si>
    <t xml:space="preserve">P330080 </t>
  </si>
  <si>
    <t xml:space="preserve">P330076 </t>
  </si>
  <si>
    <t xml:space="preserve">P330077 </t>
  </si>
  <si>
    <t xml:space="preserve">P330082 </t>
  </si>
  <si>
    <t xml:space="preserve">B071 </t>
  </si>
  <si>
    <t xml:space="preserve">P330085 </t>
  </si>
  <si>
    <t xml:space="preserve">P330087 </t>
  </si>
  <si>
    <t xml:space="preserve">P330086 </t>
  </si>
  <si>
    <t xml:space="preserve">C330075 </t>
  </si>
  <si>
    <t xml:space="preserve">C330493 </t>
  </si>
  <si>
    <t xml:space="preserve">B075 </t>
  </si>
  <si>
    <t xml:space="preserve">P330092 </t>
  </si>
  <si>
    <t xml:space="preserve">P330094 </t>
  </si>
  <si>
    <t xml:space="preserve">P330088 </t>
  </si>
  <si>
    <t xml:space="preserve">B115 </t>
  </si>
  <si>
    <t xml:space="preserve">P330097 </t>
  </si>
  <si>
    <t xml:space="preserve">P330445 </t>
  </si>
  <si>
    <t xml:space="preserve">P330458 </t>
  </si>
  <si>
    <t xml:space="preserve">B053 </t>
  </si>
  <si>
    <t xml:space="preserve">P330435 </t>
  </si>
  <si>
    <t xml:space="preserve">P330436 </t>
  </si>
  <si>
    <t xml:space="preserve">P330444 </t>
  </si>
  <si>
    <t xml:space="preserve">P330447 </t>
  </si>
  <si>
    <t xml:space="preserve">P330453 </t>
  </si>
  <si>
    <t xml:space="preserve">P330455 </t>
  </si>
  <si>
    <t xml:space="preserve">B011 </t>
  </si>
  <si>
    <t xml:space="preserve">P330432 </t>
  </si>
  <si>
    <t xml:space="preserve">P330441 </t>
  </si>
  <si>
    <t xml:space="preserve">P330448 </t>
  </si>
  <si>
    <t xml:space="preserve">P330450 </t>
  </si>
  <si>
    <t xml:space="preserve">P330456 </t>
  </si>
  <si>
    <t xml:space="preserve">P330460 </t>
  </si>
  <si>
    <t xml:space="preserve">B007 </t>
  </si>
  <si>
    <t xml:space="preserve">P330431 </t>
  </si>
  <si>
    <t xml:space="preserve">P330437 </t>
  </si>
  <si>
    <t xml:space="preserve">P330439 </t>
  </si>
  <si>
    <t xml:space="preserve">P330440 </t>
  </si>
  <si>
    <t xml:space="preserve">P330443 </t>
  </si>
  <si>
    <t xml:space="preserve">P330449 </t>
  </si>
  <si>
    <t xml:space="preserve">P330452 </t>
  </si>
  <si>
    <t xml:space="preserve">P330454 </t>
  </si>
  <si>
    <t xml:space="preserve">B010 </t>
  </si>
  <si>
    <t xml:space="preserve">P330433 </t>
  </si>
  <si>
    <t xml:space="preserve">P330434 </t>
  </si>
  <si>
    <t xml:space="preserve">P330438 </t>
  </si>
  <si>
    <t xml:space="preserve">P330442 </t>
  </si>
  <si>
    <t xml:space="preserve">P330477 </t>
  </si>
  <si>
    <t xml:space="preserve">P330483 </t>
  </si>
  <si>
    <t xml:space="preserve">B114 </t>
  </si>
  <si>
    <t xml:space="preserve">P330457 </t>
  </si>
  <si>
    <t xml:space="preserve">P330459 </t>
  </si>
  <si>
    <t xml:space="preserve">B117 </t>
  </si>
  <si>
    <t xml:space="preserve">P330446 </t>
  </si>
  <si>
    <t xml:space="preserve">P330104 </t>
  </si>
  <si>
    <t xml:space="preserve">P330069 </t>
  </si>
  <si>
    <t xml:space="preserve">B037 </t>
  </si>
  <si>
    <t xml:space="preserve">P330102 </t>
  </si>
  <si>
    <t xml:space="preserve">P330101 </t>
  </si>
  <si>
    <t xml:space="preserve">B046 </t>
  </si>
  <si>
    <t xml:space="preserve">P330099 </t>
  </si>
  <si>
    <t xml:space="preserve">P330100 </t>
  </si>
  <si>
    <t xml:space="preserve">P330103 </t>
  </si>
  <si>
    <t xml:space="preserve">P330107 </t>
  </si>
  <si>
    <t xml:space="preserve">P330113 </t>
  </si>
  <si>
    <t xml:space="preserve">P330115 </t>
  </si>
  <si>
    <t xml:space="preserve">B109 </t>
  </si>
  <si>
    <t xml:space="preserve">P330106 </t>
  </si>
  <si>
    <t xml:space="preserve">P330108 </t>
  </si>
  <si>
    <t xml:space="preserve">P330112 </t>
  </si>
  <si>
    <t xml:space="preserve">P330109 </t>
  </si>
  <si>
    <t xml:space="preserve">P330111 </t>
  </si>
  <si>
    <t xml:space="preserve">P330114 </t>
  </si>
  <si>
    <t xml:space="preserve">P330117 </t>
  </si>
  <si>
    <t xml:space="preserve">P330118 </t>
  </si>
  <si>
    <t xml:space="preserve">B112 </t>
  </si>
  <si>
    <t xml:space="preserve">P330110 </t>
  </si>
  <si>
    <t xml:space="preserve">P330463 </t>
  </si>
  <si>
    <t xml:space="preserve">P330464 </t>
  </si>
  <si>
    <t xml:space="preserve">P330467 </t>
  </si>
  <si>
    <t xml:space="preserve">P330469 </t>
  </si>
  <si>
    <t xml:space="preserve">P330474 </t>
  </si>
  <si>
    <t xml:space="preserve">P330480 </t>
  </si>
  <si>
    <t xml:space="preserve">P330481 </t>
  </si>
  <si>
    <t xml:space="preserve">B021 </t>
  </si>
  <si>
    <t xml:space="preserve">P330461 </t>
  </si>
  <si>
    <t xml:space="preserve">P330462 </t>
  </si>
  <si>
    <t xml:space="preserve">P330468 </t>
  </si>
  <si>
    <t xml:space="preserve">P330472 </t>
  </si>
  <si>
    <t xml:space="preserve">B019 </t>
  </si>
  <si>
    <t xml:space="preserve">P330473 </t>
  </si>
  <si>
    <t xml:space="preserve">P330470 </t>
  </si>
  <si>
    <t xml:space="preserve">P330478 </t>
  </si>
  <si>
    <t xml:space="preserve">B097 </t>
  </si>
  <si>
    <t xml:space="preserve">P330465 </t>
  </si>
  <si>
    <t xml:space="preserve">P330466 </t>
  </si>
  <si>
    <t xml:space="preserve">P330475 </t>
  </si>
  <si>
    <t xml:space="preserve">P330476 </t>
  </si>
  <si>
    <t xml:space="preserve">P330484 </t>
  </si>
  <si>
    <t xml:space="preserve">P330485 </t>
  </si>
  <si>
    <t xml:space="preserve">P330486 </t>
  </si>
  <si>
    <t xml:space="preserve">B113 </t>
  </si>
  <si>
    <t xml:space="preserve">P330338 </t>
  </si>
  <si>
    <t xml:space="preserve">P330363 </t>
  </si>
  <si>
    <t xml:space="preserve">P330365 </t>
  </si>
  <si>
    <t xml:space="preserve">P330367 </t>
  </si>
  <si>
    <t xml:space="preserve">P330372 </t>
  </si>
  <si>
    <t xml:space="preserve">P330374 </t>
  </si>
  <si>
    <t xml:space="preserve">P330376 </t>
  </si>
  <si>
    <t xml:space="preserve">P330381 </t>
  </si>
  <si>
    <t xml:space="preserve">P330383 </t>
  </si>
  <si>
    <t xml:space="preserve">P330388 </t>
  </si>
  <si>
    <t xml:space="preserve">P330390 </t>
  </si>
  <si>
    <t xml:space="preserve">B026 </t>
  </si>
  <si>
    <t xml:space="preserve">P330337 </t>
  </si>
  <si>
    <t xml:space="preserve">P330340 </t>
  </si>
  <si>
    <t xml:space="preserve">P330348 </t>
  </si>
  <si>
    <t xml:space="preserve">B031 </t>
  </si>
  <si>
    <t xml:space="preserve">P330368 </t>
  </si>
  <si>
    <t xml:space="preserve">P330373 </t>
  </si>
  <si>
    <t xml:space="preserve">P330375 </t>
  </si>
  <si>
    <t xml:space="preserve">B063 </t>
  </si>
  <si>
    <t xml:space="preserve">P330366 </t>
  </si>
  <si>
    <t xml:space="preserve">P330360 </t>
  </si>
  <si>
    <t xml:space="preserve">P330344 </t>
  </si>
  <si>
    <t xml:space="preserve">P330349 </t>
  </si>
  <si>
    <t xml:space="preserve">P330350 </t>
  </si>
  <si>
    <t xml:space="preserve">P330352 </t>
  </si>
  <si>
    <t xml:space="preserve">P330382 </t>
  </si>
  <si>
    <t xml:space="preserve">P330389 </t>
  </si>
  <si>
    <t xml:space="preserve">P330354 </t>
  </si>
  <si>
    <t xml:space="preserve">B066 </t>
  </si>
  <si>
    <t xml:space="preserve">P330341 </t>
  </si>
  <si>
    <t xml:space="preserve">P330343 </t>
  </si>
  <si>
    <t xml:space="preserve">P330345 </t>
  </si>
  <si>
    <t xml:space="preserve">P330346 </t>
  </si>
  <si>
    <t xml:space="preserve">P330347 </t>
  </si>
  <si>
    <t xml:space="preserve">P330351 </t>
  </si>
  <si>
    <t xml:space="preserve">P330355 </t>
  </si>
  <si>
    <t xml:space="preserve">P330356 </t>
  </si>
  <si>
    <t xml:space="preserve">P330357 </t>
  </si>
  <si>
    <t xml:space="preserve">P330358 </t>
  </si>
  <si>
    <t xml:space="preserve">P330359 </t>
  </si>
  <si>
    <t xml:space="preserve">B014 </t>
  </si>
  <si>
    <t xml:space="preserve">P330364 </t>
  </si>
  <si>
    <t xml:space="preserve">P330377 </t>
  </si>
  <si>
    <t xml:space="preserve">P330379 </t>
  </si>
  <si>
    <t xml:space="preserve">P330380 </t>
  </si>
  <si>
    <t xml:space="preserve">P330385 </t>
  </si>
  <si>
    <t xml:space="preserve">P330387 </t>
  </si>
  <si>
    <t xml:space="preserve">B098 </t>
  </si>
  <si>
    <t xml:space="preserve">P330369 </t>
  </si>
  <si>
    <t xml:space="preserve">P330371 </t>
  </si>
  <si>
    <t xml:space="preserve">P330342 </t>
  </si>
  <si>
    <t xml:space="preserve">P330391 </t>
  </si>
  <si>
    <t xml:space="preserve">B017 </t>
  </si>
  <si>
    <t xml:space="preserve">P330490 </t>
  </si>
  <si>
    <t xml:space="preserve">P330361 </t>
  </si>
  <si>
    <t xml:space="preserve">B122 </t>
  </si>
  <si>
    <t>Wangford</t>
  </si>
  <si>
    <t xml:space="preserve">P330378 </t>
  </si>
  <si>
    <t xml:space="preserve">P330384 </t>
  </si>
  <si>
    <t xml:space="preserve">P330151 </t>
  </si>
  <si>
    <t xml:space="preserve">P330153 </t>
  </si>
  <si>
    <t xml:space="preserve">P330491 </t>
  </si>
  <si>
    <t xml:space="preserve">P330168 </t>
  </si>
  <si>
    <t xml:space="preserve">B082 </t>
  </si>
  <si>
    <t xml:space="preserve">P330003 </t>
  </si>
  <si>
    <t xml:space="preserve">P330143 </t>
  </si>
  <si>
    <t xml:space="preserve">P330147 </t>
  </si>
  <si>
    <t xml:space="preserve">P330150 </t>
  </si>
  <si>
    <t xml:space="preserve">P330154 </t>
  </si>
  <si>
    <t xml:space="preserve">P330155 </t>
  </si>
  <si>
    <t xml:space="preserve">P330160 </t>
  </si>
  <si>
    <t xml:space="preserve">B005 </t>
  </si>
  <si>
    <t xml:space="preserve">P330141 </t>
  </si>
  <si>
    <t xml:space="preserve">P330142 </t>
  </si>
  <si>
    <t xml:space="preserve">P330144 </t>
  </si>
  <si>
    <t xml:space="preserve">P330146 </t>
  </si>
  <si>
    <t xml:space="preserve">P330148 </t>
  </si>
  <si>
    <t xml:space="preserve">P330149 </t>
  </si>
  <si>
    <t xml:space="preserve">P330152 </t>
  </si>
  <si>
    <t xml:space="preserve">P330156 </t>
  </si>
  <si>
    <t xml:space="preserve">P330157 </t>
  </si>
  <si>
    <t xml:space="preserve">P330159 </t>
  </si>
  <si>
    <t xml:space="preserve">P330162 </t>
  </si>
  <si>
    <t xml:space="preserve">P330163 </t>
  </si>
  <si>
    <t xml:space="preserve">P330164 </t>
  </si>
  <si>
    <t xml:space="preserve">P330165 </t>
  </si>
  <si>
    <t xml:space="preserve">P330166 </t>
  </si>
  <si>
    <t xml:space="preserve">P330167 </t>
  </si>
  <si>
    <t xml:space="preserve">B118 </t>
  </si>
  <si>
    <t xml:space="preserve">P330145 </t>
  </si>
  <si>
    <t xml:space="preserve">P330170 </t>
  </si>
  <si>
    <t xml:space="preserve">B119 </t>
  </si>
  <si>
    <t xml:space="preserve">P330171 </t>
  </si>
  <si>
    <t xml:space="preserve">P330028 </t>
  </si>
  <si>
    <t xml:space="preserve">P330018 </t>
  </si>
  <si>
    <t xml:space="preserve">P330430 </t>
  </si>
  <si>
    <t xml:space="preserve">B024 </t>
  </si>
  <si>
    <t xml:space="preserve">B047 </t>
  </si>
  <si>
    <t xml:space="preserve">B060 </t>
  </si>
  <si>
    <t>B111 - Benefice of The Shoreline Benefice</t>
  </si>
  <si>
    <t xml:space="preserve">C330129 </t>
  </si>
  <si>
    <t xml:space="preserve">P330315 </t>
  </si>
  <si>
    <t xml:space="preserve">P330317 </t>
  </si>
  <si>
    <t xml:space="preserve">P330318 </t>
  </si>
  <si>
    <t xml:space="preserve">P330319 </t>
  </si>
  <si>
    <t xml:space="preserve">P330327 </t>
  </si>
  <si>
    <t xml:space="preserve">P330332 </t>
  </si>
  <si>
    <t xml:space="preserve">P330334 </t>
  </si>
  <si>
    <t>Deanery Under allocation</t>
  </si>
  <si>
    <t>Deanery Over allocation</t>
  </si>
  <si>
    <t>P330006 - Parish of Barking with Darmsden</t>
  </si>
  <si>
    <t>P330007 - Parish of Battisford</t>
  </si>
  <si>
    <t>P330017 - Parish of Great Bricett</t>
  </si>
  <si>
    <t>P330054 - Parish of Higham</t>
  </si>
  <si>
    <t>P330082 - Parish of Ipswich St Helen</t>
  </si>
  <si>
    <t>P330104 - Parish of Capel St Mary with Lt. Wenham</t>
  </si>
  <si>
    <t>P330064 - Parish of Polstead</t>
  </si>
  <si>
    <t>P330307 - Parish of Bradfield Combust</t>
  </si>
  <si>
    <t>Payment Method</t>
  </si>
  <si>
    <t>Standing Order</t>
  </si>
  <si>
    <t>Frequency</t>
  </si>
  <si>
    <t>Cheque</t>
  </si>
  <si>
    <t>No</t>
  </si>
  <si>
    <t>Monthly</t>
  </si>
  <si>
    <t>Quarterly</t>
  </si>
  <si>
    <t>BACS</t>
  </si>
  <si>
    <t>Yes</t>
  </si>
  <si>
    <t>Other</t>
  </si>
  <si>
    <t>Both</t>
  </si>
  <si>
    <t>Every 2 Months</t>
  </si>
  <si>
    <t>CBF Deposit</t>
  </si>
  <si>
    <t>No Pattern</t>
  </si>
  <si>
    <t>Code</t>
  </si>
  <si>
    <t>% Received of REVISED target</t>
  </si>
  <si>
    <t>Unallocated</t>
  </si>
  <si>
    <t>Box River Benefice</t>
  </si>
  <si>
    <t>Original Share not apportioned</t>
  </si>
  <si>
    <t>P330089 - Parish of Ipswich St Matthew</t>
  </si>
  <si>
    <t>Under-allocation</t>
  </si>
  <si>
    <t>Great Finborough w Onehouse, Harleston, Buxhall, Shelland, Coombs and Little Finborough Total</t>
  </si>
  <si>
    <t>Overpayment available for internal deanery support</t>
  </si>
  <si>
    <t xml:space="preserve">P330089 </t>
  </si>
  <si>
    <t>The Alde Sandlings Benefice</t>
  </si>
  <si>
    <t>B078 - Benefice of Lark Valley with North Bury Team</t>
  </si>
  <si>
    <t>C330129 - Church of The Chapel of St Nicholas, Gipping</t>
  </si>
  <si>
    <t>P330010 - Parish of Creeting St Mary</t>
  </si>
  <si>
    <t>P330022 - Parish of Nettlestead</t>
  </si>
  <si>
    <t>P330025 - Parish of Somersham</t>
  </si>
  <si>
    <t>P330031 - Parish of Brightwell</t>
  </si>
  <si>
    <t>P330034 - Parish of Felixstowe St John</t>
  </si>
  <si>
    <t>P330058 - Parish of Layham</t>
  </si>
  <si>
    <t>P330059 - Parish of Leavenheath</t>
  </si>
  <si>
    <t>P330063 - Parish of Nedging</t>
  </si>
  <si>
    <t>P330065 - Parish of Raydon</t>
  </si>
  <si>
    <t>P330094 - Parish of Rushmere St Andrew</t>
  </si>
  <si>
    <t>P330114 - Parish of Stutton</t>
  </si>
  <si>
    <t>P330120 - Parish of Buxhall</t>
  </si>
  <si>
    <t>P330130 - Parish of Onehouse</t>
  </si>
  <si>
    <t>P330143 - Parish of Boulge</t>
  </si>
  <si>
    <t>P330148 - Parish of Butley</t>
  </si>
  <si>
    <t>P330151 - Parish of Culpho</t>
  </si>
  <si>
    <t>P330156 - Parish of Hollesley</t>
  </si>
  <si>
    <t>P330162 - Parish of Ramsholt</t>
  </si>
  <si>
    <t>P330163 - Parish of Rendlesham St Gregory and St Felix</t>
  </si>
  <si>
    <t>P330174 - Parish of Chedburgh</t>
  </si>
  <si>
    <t>P330183 - Parish of Kedington</t>
  </si>
  <si>
    <t>P330188 - Parish of Stansfield</t>
  </si>
  <si>
    <t>P330198 - Parish of Barnham</t>
  </si>
  <si>
    <t>P330200 - Parish of Coney Weston</t>
  </si>
  <si>
    <t>P330201 - Parish of Euston</t>
  </si>
  <si>
    <t>P330203 - Parish of Great Ashfield</t>
  </si>
  <si>
    <t>P330207 - Parish of Honington with Sapiston</t>
  </si>
  <si>
    <t>P330208 - Parish of Hopton</t>
  </si>
  <si>
    <t>P330210 - Parish of Ixworth with Ixworth Thorpe</t>
  </si>
  <si>
    <t>P330213 - Parish of Market Weston</t>
  </si>
  <si>
    <t>P330216 - Parish of Stanton</t>
  </si>
  <si>
    <t>P330221 - Parish of Troston</t>
  </si>
  <si>
    <t>P330227 - Parish of Brent Eleigh</t>
  </si>
  <si>
    <t>P330238 - Parish of Kettlebaston</t>
  </si>
  <si>
    <t>P330243 - Parish of Milden</t>
  </si>
  <si>
    <t>P330249 - Parish of Thorpe Morieux</t>
  </si>
  <si>
    <t>P330252 - Parish of Beck Row with Kenny Hill</t>
  </si>
  <si>
    <t>P330259 - Parish of Elveden</t>
  </si>
  <si>
    <t>P330260 - Parish of Eriswell</t>
  </si>
  <si>
    <t>P330264 - Parish of Freckenham</t>
  </si>
  <si>
    <t>P330265 - Parish of Gazeley</t>
  </si>
  <si>
    <t>P330276 - Parish of Ousden</t>
  </si>
  <si>
    <t>P330282 - Parish of Acton</t>
  </si>
  <si>
    <t>P330293 - Parish of Groton</t>
  </si>
  <si>
    <t>P330302 - Parish of Sudbury All Saints</t>
  </si>
  <si>
    <t>P330321 - Parish of Horringer</t>
  </si>
  <si>
    <t>P330326 - Parish of Ingham with Ampton &amp; Great &amp; Little Livermere</t>
  </si>
  <si>
    <t>P330331 - Parish of Stanningfield</t>
  </si>
  <si>
    <t>P330337 - Parish of Barsham with Shipmeadow</t>
  </si>
  <si>
    <t>P330340 - Parish of Bungay</t>
  </si>
  <si>
    <t>P330346 - Parish of Ilketshall St Lawrence</t>
  </si>
  <si>
    <t>P330377 - Parish of Reydon</t>
  </si>
  <si>
    <t>P330379 - Parish of South Cove</t>
  </si>
  <si>
    <t>P330387 - Parish of Wangford</t>
  </si>
  <si>
    <t>P330388 - Parish of Wenhaston</t>
  </si>
  <si>
    <t>P330419 - Parish of Laxfield</t>
  </si>
  <si>
    <t>P330429 - Parish of Withersdale</t>
  </si>
  <si>
    <t>P330438 - Parish of Cransford</t>
  </si>
  <si>
    <t>P330441 - Parish of Debenham</t>
  </si>
  <si>
    <t>P330447 - Parish of Hacheston</t>
  </si>
  <si>
    <t>P330455 - Parish of Parham</t>
  </si>
  <si>
    <t>P330468 - Parish of Friston</t>
  </si>
  <si>
    <t>P330475 - Parish of Middleton cum Fordley</t>
  </si>
  <si>
    <t>P330476 - Parish of Peasenhall</t>
  </si>
  <si>
    <t>P330480 - Parish of Snape</t>
  </si>
  <si>
    <t>P330486 - Parish of Yoxford</t>
  </si>
  <si>
    <t>P330494 - Parish of Bury St Edmunds Christ Church</t>
  </si>
  <si>
    <t>Ipswich Archdeaconry</t>
  </si>
  <si>
    <t>P330016 - Parish of Great Blakenham</t>
  </si>
  <si>
    <t>P330018 - Parish of Hemingstone</t>
  </si>
  <si>
    <t>P330070 - Parish of Whatfield</t>
  </si>
  <si>
    <t>P330072 - Parish of Stratford St Mary</t>
  </si>
  <si>
    <t>P330076 - Parish of Ipswich Holy Trinity</t>
  </si>
  <si>
    <t>P330087 - Parish of Ipswich St Mary Le Tower</t>
  </si>
  <si>
    <t>P330110 - Parish of Harkstead</t>
  </si>
  <si>
    <t>P330136 - Parish of Westhorpe</t>
  </si>
  <si>
    <t>P330158 - Parish of Little Bealings</t>
  </si>
  <si>
    <t>P330172 - Parish of Barnardiston</t>
  </si>
  <si>
    <t>P330173 - Parish of Cavendish</t>
  </si>
  <si>
    <t>P330178 - Parish of Great Bradley</t>
  </si>
  <si>
    <t>P330179 - Parish of Great Thurlow</t>
  </si>
  <si>
    <t>P330184 - Parish of Little Bradley</t>
  </si>
  <si>
    <t>P330192 - Parish of Withersfield</t>
  </si>
  <si>
    <t>P330196 - Parish of Badwell Ash</t>
  </si>
  <si>
    <t>P330202 - Parish of Fakenham Magna</t>
  </si>
  <si>
    <t>P330222 - Parish of Walsham-le-Willows</t>
  </si>
  <si>
    <t>P330228 - Parish of Brettenham</t>
  </si>
  <si>
    <t>P330235 - Parish of Great Whelnetham</t>
  </si>
  <si>
    <t>P330257 - Parish of Cowlinge</t>
  </si>
  <si>
    <t>P330267 - Parish of Higham Green</t>
  </si>
  <si>
    <t>P330316 - Parish of Denham St Mary</t>
  </si>
  <si>
    <t>P330328 - Parish of Little Saxham</t>
  </si>
  <si>
    <t>P330329 - Parish of Nowton</t>
  </si>
  <si>
    <t>P330341 - Parish of Flixton</t>
  </si>
  <si>
    <t>P330365 - Parish of Bramfield</t>
  </si>
  <si>
    <t>P330371 - Parish of Frostenden</t>
  </si>
  <si>
    <t>P330372 - Parish of Halesworth</t>
  </si>
  <si>
    <t>P330403 - Parish of Redlingfield</t>
  </si>
  <si>
    <t>P330405 - Parish of Stuston</t>
  </si>
  <si>
    <t>P330412 - Parish of Athelington</t>
  </si>
  <si>
    <t>P330418 - Parish of Hoxne</t>
  </si>
  <si>
    <t>P330421 - Parish of Metfield</t>
  </si>
  <si>
    <t>P330422 - Parish of Monk Soham</t>
  </si>
  <si>
    <t>P330423 - Parish of Stradbroke</t>
  </si>
  <si>
    <t>P330426 - Parish of Weybread</t>
  </si>
  <si>
    <t>P330430 - Parish of Worlingworth with Southolt</t>
  </si>
  <si>
    <t>P330432 - Parish of Aspall</t>
  </si>
  <si>
    <t>P330435 - Parish of Brandeston</t>
  </si>
  <si>
    <t>P330437 - Charsfield with Debach</t>
  </si>
  <si>
    <t>P330440 - Parish of Dallinghoo</t>
  </si>
  <si>
    <t>P330446 - Parish of Framsden</t>
  </si>
  <si>
    <t>P330449 - Parish of Hoo</t>
  </si>
  <si>
    <t>P330451 - Parish of Kettleburgh</t>
  </si>
  <si>
    <t>P330465 - Parish of Darsham</t>
  </si>
  <si>
    <t>P330470 - Parish of Kelsale cum Carlton</t>
  </si>
  <si>
    <t>P330472 - Parish of Knodishall</t>
  </si>
  <si>
    <t>% Received of  ORIGINAL target</t>
  </si>
  <si>
    <t>B110 - Benefice of The Saint Edmund Way Benefice</t>
  </si>
  <si>
    <t>P330050 - Parish of Bildeston</t>
  </si>
  <si>
    <t>P330144 - Parish of Boyton</t>
  </si>
  <si>
    <t>P330145 - Parish of Bredfield</t>
  </si>
  <si>
    <t>P330149 - Parish of Chillesford</t>
  </si>
  <si>
    <t>P330161 - Parish of Playford</t>
  </si>
  <si>
    <t>P330166 - Parish of Sutton</t>
  </si>
  <si>
    <t>P330185 - Parish of Little Thurlow</t>
  </si>
  <si>
    <t>P330190 - Parish of Stradishall</t>
  </si>
  <si>
    <t>P330223 - Parish of Wattisfield</t>
  </si>
  <si>
    <t>P330269 - Parish of Kentford</t>
  </si>
  <si>
    <t>P330274 - Parish of Newmarket All Saints</t>
  </si>
  <si>
    <t>P330275 - Parish of Newmarket St Mary</t>
  </si>
  <si>
    <t>P330290 - Parish of Edwardstone</t>
  </si>
  <si>
    <t>P330304 - Parish of Little Waldingfield</t>
  </si>
  <si>
    <t>P330323 - Parish of Great Saxham</t>
  </si>
  <si>
    <t>P330342 - Parish of Henstead with Hulver</t>
  </si>
  <si>
    <t>P330349 - Parish of Redisham</t>
  </si>
  <si>
    <t>P330357 - Parish of St Margaret South Elmham</t>
  </si>
  <si>
    <t>P330358 - Parish of St Michael South Elmham</t>
  </si>
  <si>
    <t>P330360 - Parish of Ellough &amp; Weston</t>
  </si>
  <si>
    <t>P330367 - Parish of Chediston</t>
  </si>
  <si>
    <t>P330393 - Parish of Brome with Oakley UP</t>
  </si>
  <si>
    <t>P330409 - Parish of Thrandeston</t>
  </si>
  <si>
    <t>P330417 - Parish of Horham</t>
  </si>
  <si>
    <t>Revised Deanery Total Net of Waivers</t>
  </si>
  <si>
    <t>Revised Deanery Total Net Waivers</t>
  </si>
  <si>
    <t>No payment to date</t>
  </si>
  <si>
    <t xml:space="preserve">Payment Analysis </t>
  </si>
  <si>
    <t>By Benefice</t>
  </si>
  <si>
    <t>Paid more than 100%</t>
  </si>
  <si>
    <t>Paid 100%</t>
  </si>
  <si>
    <t>Total</t>
  </si>
  <si>
    <t>On or ahead of Target</t>
  </si>
  <si>
    <t>Behind Target</t>
  </si>
  <si>
    <t>On or ahead of target</t>
  </si>
  <si>
    <t>Behind target</t>
  </si>
  <si>
    <t>Overall Total</t>
  </si>
  <si>
    <t>P330023 - Parish of Offton</t>
  </si>
  <si>
    <t>P330052 - Parish of Elmsett</t>
  </si>
  <si>
    <t>P330111 - Parish of Holbrook</t>
  </si>
  <si>
    <t>P330152 - Parish of Eyke</t>
  </si>
  <si>
    <t>P330153 - Parish of Great Bealings</t>
  </si>
  <si>
    <t>P330218 - Parish of Thelnetham</t>
  </si>
  <si>
    <t>P330224 - Parish of Beyton with Hessett</t>
  </si>
  <si>
    <t>P330237 - Parish of Hitcham</t>
  </si>
  <si>
    <t>P330247 - Parish of Rougham</t>
  </si>
  <si>
    <t>P330271 - Parish of Lidgate</t>
  </si>
  <si>
    <t>P330343 - Parish of Homersfield</t>
  </si>
  <si>
    <t>P330364 - Parish of Blythburgh</t>
  </si>
  <si>
    <t>P330376 - Parish of Linstead Parva</t>
  </si>
  <si>
    <t>P330382 - Parish of Stoven</t>
  </si>
  <si>
    <t>P330414 - Parish of Brundish</t>
  </si>
  <si>
    <t>P330415 - Parish of Denham St John</t>
  </si>
  <si>
    <t>P330014 - Parish of Flowton</t>
  </si>
  <si>
    <t>P330294 - Parish of Hartest with Boxted</t>
  </si>
  <si>
    <t>P330348 - Parish of Mettingham</t>
  </si>
  <si>
    <t>P330351 - Parish of Rumburgh with All Saints South Elmham &amp; St Nicholas South Elmham</t>
  </si>
  <si>
    <t>P330356 - Parish of St James South Elmham</t>
  </si>
  <si>
    <t>P330359 - Parish of St Peter South Elmham</t>
  </si>
  <si>
    <t>P330368 - Parish of Cookley</t>
  </si>
  <si>
    <t>P330389 - Parish of Westhall</t>
  </si>
  <si>
    <t>B021 - Benefice of Alde River Benefice</t>
  </si>
  <si>
    <t>P330123 - Parish of Finningham</t>
  </si>
  <si>
    <t>P330205 - Parish of Hepworth</t>
  </si>
  <si>
    <t>P330209 - Parish of Hunston</t>
  </si>
  <si>
    <t>P330217 - Parish of Stowlangtoft</t>
  </si>
  <si>
    <t>P330266 - Parish of Herringswell</t>
  </si>
  <si>
    <t>P330283 - Parish of Alpheton and Shimplingthorne</t>
  </si>
  <si>
    <t>P330354 - Parish of Willingham &amp; Sotterley</t>
  </si>
  <si>
    <t>P330481 - Parish of Sternfield</t>
  </si>
  <si>
    <t>Waveney</t>
  </si>
  <si>
    <t>Actual</t>
  </si>
  <si>
    <t>Column1</t>
  </si>
  <si>
    <t>Column2</t>
  </si>
  <si>
    <t>P330369 - Covehithe with Benacre</t>
  </si>
  <si>
    <t>P330373 - Parish of Heveningham with Ubbeston</t>
  </si>
  <si>
    <t>P330391 - Parish of Wrentham</t>
  </si>
  <si>
    <t>P330099 - Parish of Belstead</t>
  </si>
  <si>
    <t>P330361 - Parish of Worlingham</t>
  </si>
  <si>
    <t>P330300 - Parish of Somerton</t>
  </si>
  <si>
    <t>P330301 - Parish of Stanstead</t>
  </si>
  <si>
    <t>P330452 - Parish of Letheringham</t>
  </si>
  <si>
    <t>P330490 - Parish of Barnby and North Cove</t>
  </si>
  <si>
    <t>P330176 - Parish of Denston</t>
  </si>
  <si>
    <t xml:space="preserve">P330344 - Parish of Ilkeshall St Andrew </t>
  </si>
  <si>
    <t>Total at 31st October 2019</t>
  </si>
  <si>
    <t>P330020 - Parish of Little Blakenham</t>
  </si>
  <si>
    <t>P330085 - Parish of Ipswich St Margaret</t>
  </si>
  <si>
    <t>P330061 - Parish of Naughton</t>
  </si>
  <si>
    <t>P330056 - Parish of Holton St Mary</t>
  </si>
  <si>
    <t>P330068 - Parish of Stoke-by-Nayland</t>
  </si>
  <si>
    <t>P330103 - Parish of Burstall</t>
  </si>
  <si>
    <t>Wantisden</t>
  </si>
  <si>
    <t>P330169</t>
  </si>
  <si>
    <t>(Note Target payment at 30th November =91.67%)</t>
  </si>
  <si>
    <t>Less Waivers (noted above)</t>
  </si>
  <si>
    <t>B118 - Benefice of Wilford Peninsula</t>
  </si>
  <si>
    <t>Benefice of Wilford Peninsula</t>
  </si>
  <si>
    <t>P330118 - Parish of Woolverstone</t>
  </si>
  <si>
    <t>P330194 - Parish of Great Wratting</t>
  </si>
  <si>
    <t>P330375 - Parish of Huntingfield</t>
  </si>
  <si>
    <t>P330325 -Parish of Hawstead</t>
  </si>
  <si>
    <t>P330141 - Parish of Alderton</t>
  </si>
  <si>
    <t>P330195 -Parish of Little Wratting</t>
  </si>
  <si>
    <t>P330212 - Parish of Langham</t>
  </si>
  <si>
    <t>B023 - Benefice Of Badwell &amp; Walsham</t>
  </si>
  <si>
    <t>P330363 - Parish of Blyford</t>
  </si>
  <si>
    <t>no more</t>
  </si>
  <si>
    <t>P330169 - Parish of Wantisden</t>
  </si>
  <si>
    <t>P330355 - Parish of St Cross South Elmham</t>
  </si>
  <si>
    <t>P330245 - Pqarish of Preston</t>
  </si>
  <si>
    <t>Deanery 2019</t>
  </si>
  <si>
    <t>To be allocated</t>
  </si>
  <si>
    <t>Over Allocation</t>
  </si>
  <si>
    <t xml:space="preserve">Ipswich St Bartholomew </t>
  </si>
  <si>
    <t xml:space="preserve">Mission Ipswich East </t>
  </si>
  <si>
    <t>Benefice Contribution</t>
  </si>
  <si>
    <t>Deanery (Over) / Under allocation</t>
  </si>
  <si>
    <t>Revised Deanery Total Of Waivers</t>
  </si>
  <si>
    <t>Revised Deanery Total of Waivers</t>
  </si>
  <si>
    <t>Thingoe Deanery</t>
  </si>
  <si>
    <t>Parish Share 2020</t>
  </si>
  <si>
    <t>P330093</t>
  </si>
  <si>
    <t>P330158</t>
  </si>
  <si>
    <t>Little Bealings</t>
  </si>
  <si>
    <t>Playford</t>
  </si>
  <si>
    <t>P330161</t>
  </si>
  <si>
    <t>4th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</si>
</sst>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_-&quot;£&quot;* #,##0_-;\-&quot;£&quot;* #,##0_-;_-&quot;£&quot;* &quot;-&quot;??_-;_-@_-"/>
    <numFmt numFmtId="166" formatCode="_-&quot;£&quot;* #,##0_-;\(&quot;£&quot;* #,##0\)_-;_-&quot;£&quot;* &quot;-&quot;??_-;_-@_-"/>
    <numFmt numFmtId="167" formatCode="&quot;£&quot;#,##0"/>
    <numFmt numFmtId="168" formatCode="&quot;£&quot;#,##0.00"/>
    <numFmt numFmtId="169" formatCode="#0"/>
    <numFmt numFmtId="170" formatCode="_-* #,##0_-;\-* #,##0_-;_-* &quot;-&quot;??_-;_-@_-"/>
  </numFmts>
  <fonts count="27" x14ac:knownFonts="1"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Century Gothic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Century Gothic"/>
      <family val="2"/>
    </font>
    <font>
      <u/>
      <sz val="11"/>
      <color theme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  <font>
      <b/>
      <sz val="28"/>
      <color theme="1"/>
      <name val="Tahoma"/>
      <family val="2"/>
    </font>
    <font>
      <sz val="28"/>
      <color theme="1"/>
      <name val="Tahoma"/>
      <family val="2"/>
    </font>
    <font>
      <b/>
      <u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Calibri"/>
      <family val="2"/>
    </font>
    <font>
      <sz val="11"/>
      <color rgb="FFDC143C"/>
      <name val="Calibri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EB0A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66FF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17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1" fillId="0" borderId="0"/>
  </cellStyleXfs>
  <cellXfs count="6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ont="1"/>
    <xf numFmtId="165" fontId="0" fillId="0" borderId="0" xfId="0" applyNumberFormat="1" applyFont="1"/>
    <xf numFmtId="10" fontId="2" fillId="0" borderId="0" xfId="1" applyNumberFormat="1" applyFont="1"/>
    <xf numFmtId="10" fontId="4" fillId="0" borderId="0" xfId="1" applyNumberFormat="1" applyFont="1"/>
    <xf numFmtId="10" fontId="0" fillId="0" borderId="0" xfId="1" applyNumberFormat="1" applyFont="1"/>
    <xf numFmtId="10" fontId="3" fillId="0" borderId="0" xfId="1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/>
    <xf numFmtId="10" fontId="4" fillId="0" borderId="0" xfId="0" applyNumberFormat="1" applyFont="1"/>
    <xf numFmtId="10" fontId="0" fillId="0" borderId="0" xfId="0" applyNumberFormat="1"/>
    <xf numFmtId="10" fontId="0" fillId="0" borderId="0" xfId="0" applyNumberFormat="1" applyFont="1"/>
    <xf numFmtId="10" fontId="4" fillId="0" borderId="0" xfId="0" applyNumberFormat="1" applyFont="1" applyAlignment="1">
      <alignment vertical="center"/>
    </xf>
    <xf numFmtId="0" fontId="0" fillId="0" borderId="4" xfId="0" applyBorder="1"/>
    <xf numFmtId="166" fontId="4" fillId="0" borderId="5" xfId="0" applyNumberFormat="1" applyFont="1" applyBorder="1"/>
    <xf numFmtId="0" fontId="0" fillId="0" borderId="0" xfId="0"/>
    <xf numFmtId="166" fontId="0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center" vertical="center" wrapText="1"/>
    </xf>
    <xf numFmtId="167" fontId="0" fillId="0" borderId="8" xfId="0" applyNumberFormat="1" applyFont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8" fillId="2" borderId="9" xfId="3" applyFont="1" applyFill="1" applyBorder="1" applyAlignment="1">
      <alignment horizontal="center"/>
    </xf>
    <xf numFmtId="0" fontId="8" fillId="0" borderId="10" xfId="3" applyFont="1" applyFill="1" applyBorder="1" applyAlignment="1">
      <alignment horizontal="right" wrapText="1"/>
    </xf>
    <xf numFmtId="7" fontId="8" fillId="0" borderId="10" xfId="3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7" fontId="0" fillId="0" borderId="0" xfId="0" applyNumberFormat="1"/>
    <xf numFmtId="168" fontId="0" fillId="0" borderId="0" xfId="0" applyNumberFormat="1"/>
    <xf numFmtId="167" fontId="0" fillId="0" borderId="0" xfId="0" applyNumberFormat="1"/>
    <xf numFmtId="3" fontId="0" fillId="0" borderId="0" xfId="0" applyNumberFormat="1"/>
    <xf numFmtId="9" fontId="0" fillId="0" borderId="0" xfId="1" applyFont="1"/>
    <xf numFmtId="0" fontId="8" fillId="0" borderId="0" xfId="3" applyFont="1" applyFill="1" applyBorder="1" applyAlignment="1">
      <alignment horizontal="right" wrapText="1"/>
    </xf>
    <xf numFmtId="7" fontId="8" fillId="0" borderId="0" xfId="3" applyNumberFormat="1" applyFont="1" applyFill="1" applyBorder="1" applyAlignment="1">
      <alignment horizontal="right" wrapText="1"/>
    </xf>
    <xf numFmtId="0" fontId="4" fillId="0" borderId="0" xfId="0" applyFont="1" applyBorder="1"/>
    <xf numFmtId="0" fontId="0" fillId="0" borderId="0" xfId="0" applyNumberFormat="1" applyFont="1"/>
    <xf numFmtId="4" fontId="0" fillId="0" borderId="0" xfId="0" applyNumberFormat="1" applyFont="1"/>
    <xf numFmtId="166" fontId="4" fillId="0" borderId="0" xfId="0" applyNumberFormat="1" applyFont="1"/>
    <xf numFmtId="0" fontId="0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167" fontId="0" fillId="0" borderId="0" xfId="1" applyNumberFormat="1" applyFont="1"/>
    <xf numFmtId="0" fontId="10" fillId="0" borderId="0" xfId="5" applyFont="1" applyFill="1" applyBorder="1" applyAlignment="1"/>
    <xf numFmtId="0" fontId="3" fillId="0" borderId="0" xfId="0" applyFont="1"/>
    <xf numFmtId="0" fontId="11" fillId="0" borderId="0" xfId="0" applyFont="1"/>
    <xf numFmtId="0" fontId="10" fillId="0" borderId="0" xfId="0" applyFont="1"/>
    <xf numFmtId="0" fontId="0" fillId="3" borderId="0" xfId="0" applyNumberFormat="1" applyFont="1" applyFill="1"/>
    <xf numFmtId="0" fontId="0" fillId="0" borderId="0" xfId="0" applyNumberFormat="1" applyFont="1" applyFill="1"/>
    <xf numFmtId="0" fontId="4" fillId="0" borderId="8" xfId="0" applyFont="1" applyBorder="1" applyAlignment="1">
      <alignment horizontal="center" vertical="center" wrapText="1"/>
    </xf>
    <xf numFmtId="0" fontId="2" fillId="4" borderId="0" xfId="0" applyFont="1" applyFill="1"/>
    <xf numFmtId="10" fontId="2" fillId="4" borderId="0" xfId="1" applyNumberFormat="1" applyFont="1" applyFill="1"/>
    <xf numFmtId="0" fontId="0" fillId="4" borderId="0" xfId="0" applyFill="1"/>
    <xf numFmtId="10" fontId="0" fillId="4" borderId="0" xfId="1" applyNumberFormat="1" applyFont="1" applyFill="1"/>
    <xf numFmtId="0" fontId="1" fillId="4" borderId="0" xfId="0" applyFont="1" applyFill="1"/>
    <xf numFmtId="10" fontId="1" fillId="4" borderId="0" xfId="1" applyNumberFormat="1" applyFont="1" applyFill="1"/>
    <xf numFmtId="0" fontId="4" fillId="4" borderId="0" xfId="0" applyFont="1" applyFill="1"/>
    <xf numFmtId="0" fontId="0" fillId="4" borderId="0" xfId="0" applyFont="1" applyFill="1"/>
    <xf numFmtId="10" fontId="0" fillId="4" borderId="1" xfId="1" applyNumberFormat="1" applyFont="1" applyFill="1" applyBorder="1"/>
    <xf numFmtId="10" fontId="0" fillId="4" borderId="2" xfId="1" applyNumberFormat="1" applyFont="1" applyFill="1" applyBorder="1"/>
    <xf numFmtId="10" fontId="4" fillId="4" borderId="1" xfId="1" applyNumberFormat="1" applyFont="1" applyFill="1" applyBorder="1"/>
    <xf numFmtId="165" fontId="11" fillId="4" borderId="0" xfId="0" applyNumberFormat="1" applyFont="1" applyFill="1"/>
    <xf numFmtId="10" fontId="0" fillId="4" borderId="15" xfId="1" applyNumberFormat="1" applyFont="1" applyFill="1" applyBorder="1"/>
    <xf numFmtId="10" fontId="0" fillId="4" borderId="8" xfId="1" applyNumberFormat="1" applyFont="1" applyFill="1" applyBorder="1"/>
    <xf numFmtId="10" fontId="4" fillId="4" borderId="15" xfId="1" applyNumberFormat="1" applyFont="1" applyFill="1" applyBorder="1"/>
    <xf numFmtId="166" fontId="0" fillId="4" borderId="15" xfId="0" applyNumberFormat="1" applyFill="1" applyBorder="1"/>
    <xf numFmtId="166" fontId="0" fillId="4" borderId="8" xfId="0" applyNumberFormat="1" applyFill="1" applyBorder="1"/>
    <xf numFmtId="166" fontId="4" fillId="4" borderId="15" xfId="0" applyNumberFormat="1" applyFont="1" applyFill="1" applyBorder="1"/>
    <xf numFmtId="166" fontId="4" fillId="4" borderId="16" xfId="0" applyNumberFormat="1" applyFont="1" applyFill="1" applyBorder="1"/>
    <xf numFmtId="0" fontId="0" fillId="4" borderId="15" xfId="0" applyFill="1" applyBorder="1"/>
    <xf numFmtId="0" fontId="4" fillId="4" borderId="15" xfId="0" applyFont="1" applyFill="1" applyBorder="1"/>
    <xf numFmtId="164" fontId="4" fillId="4" borderId="14" xfId="0" applyNumberFormat="1" applyFont="1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8" xfId="0" applyFill="1" applyBorder="1"/>
    <xf numFmtId="0" fontId="0" fillId="4" borderId="4" xfId="0" applyFill="1" applyBorder="1"/>
    <xf numFmtId="10" fontId="0" fillId="4" borderId="4" xfId="1" applyNumberFormat="1" applyFont="1" applyFill="1" applyBorder="1"/>
    <xf numFmtId="0" fontId="4" fillId="4" borderId="13" xfId="0" applyFont="1" applyFill="1" applyBorder="1"/>
    <xf numFmtId="10" fontId="4" fillId="4" borderId="20" xfId="1" applyNumberFormat="1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wrapText="1"/>
    </xf>
    <xf numFmtId="10" fontId="4" fillId="4" borderId="19" xfId="1" applyNumberFormat="1" applyFont="1" applyFill="1" applyBorder="1" applyAlignment="1">
      <alignment horizontal="center" wrapText="1"/>
    </xf>
    <xf numFmtId="0" fontId="4" fillId="4" borderId="21" xfId="0" applyFont="1" applyFill="1" applyBorder="1"/>
    <xf numFmtId="166" fontId="4" fillId="4" borderId="21" xfId="0" applyNumberFormat="1" applyFont="1" applyFill="1" applyBorder="1"/>
    <xf numFmtId="0" fontId="0" fillId="0" borderId="15" xfId="0" applyBorder="1"/>
    <xf numFmtId="166" fontId="0" fillId="0" borderId="15" xfId="0" applyNumberFormat="1" applyBorder="1"/>
    <xf numFmtId="0" fontId="0" fillId="0" borderId="0" xfId="0" applyBorder="1"/>
    <xf numFmtId="10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0" fillId="0" borderId="1" xfId="0" applyBorder="1"/>
    <xf numFmtId="0" fontId="4" fillId="0" borderId="15" xfId="0" applyFont="1" applyBorder="1"/>
    <xf numFmtId="0" fontId="0" fillId="0" borderId="15" xfId="0" applyFont="1" applyBorder="1"/>
    <xf numFmtId="10" fontId="4" fillId="0" borderId="20" xfId="1" applyNumberFormat="1" applyFont="1" applyBorder="1"/>
    <xf numFmtId="0" fontId="4" fillId="0" borderId="21" xfId="0" applyFont="1" applyBorder="1"/>
    <xf numFmtId="0" fontId="0" fillId="0" borderId="18" xfId="0" applyFont="1" applyBorder="1"/>
    <xf numFmtId="2" fontId="2" fillId="0" borderId="19" xfId="0" applyNumberFormat="1" applyFont="1" applyBorder="1"/>
    <xf numFmtId="49" fontId="5" fillId="0" borderId="19" xfId="0" applyNumberFormat="1" applyFont="1" applyBorder="1"/>
    <xf numFmtId="0" fontId="0" fillId="0" borderId="25" xfId="0" applyBorder="1"/>
    <xf numFmtId="0" fontId="4" fillId="0" borderId="28" xfId="0" applyFont="1" applyBorder="1"/>
    <xf numFmtId="0" fontId="0" fillId="0" borderId="23" xfId="0" applyBorder="1"/>
    <xf numFmtId="0" fontId="4" fillId="0" borderId="7" xfId="0" applyFont="1" applyBorder="1"/>
    <xf numFmtId="0" fontId="0" fillId="0" borderId="1" xfId="0" applyFill="1" applyBorder="1"/>
    <xf numFmtId="0" fontId="4" fillId="0" borderId="29" xfId="0" applyFont="1" applyBorder="1"/>
    <xf numFmtId="166" fontId="4" fillId="0" borderId="21" xfId="0" applyNumberFormat="1" applyFont="1" applyFill="1" applyBorder="1"/>
    <xf numFmtId="166" fontId="4" fillId="0" borderId="21" xfId="0" applyNumberFormat="1" applyFont="1" applyBorder="1"/>
    <xf numFmtId="166" fontId="0" fillId="0" borderId="15" xfId="0" applyNumberFormat="1" applyFont="1" applyBorder="1"/>
    <xf numFmtId="166" fontId="0" fillId="0" borderId="18" xfId="0" applyNumberFormat="1" applyFont="1" applyBorder="1"/>
    <xf numFmtId="166" fontId="4" fillId="0" borderId="15" xfId="0" applyNumberFormat="1" applyFont="1" applyBorder="1"/>
    <xf numFmtId="166" fontId="0" fillId="0" borderId="15" xfId="0" applyNumberFormat="1" applyFont="1" applyFill="1" applyBorder="1"/>
    <xf numFmtId="0" fontId="2" fillId="0" borderId="24" xfId="0" applyFont="1" applyBorder="1"/>
    <xf numFmtId="0" fontId="2" fillId="0" borderId="30" xfId="0" applyFont="1" applyBorder="1"/>
    <xf numFmtId="10" fontId="2" fillId="0" borderId="31" xfId="1" applyNumberFormat="1" applyFont="1" applyBorder="1"/>
    <xf numFmtId="0" fontId="0" fillId="0" borderId="32" xfId="0" applyBorder="1"/>
    <xf numFmtId="10" fontId="0" fillId="0" borderId="33" xfId="1" applyNumberFormat="1" applyFont="1" applyBorder="1"/>
    <xf numFmtId="0" fontId="4" fillId="0" borderId="32" xfId="0" applyFont="1" applyBorder="1"/>
    <xf numFmtId="10" fontId="4" fillId="0" borderId="33" xfId="1" applyNumberFormat="1" applyFont="1" applyBorder="1"/>
    <xf numFmtId="10" fontId="0" fillId="0" borderId="35" xfId="1" applyNumberFormat="1" applyFont="1" applyBorder="1"/>
    <xf numFmtId="0" fontId="0" fillId="0" borderId="36" xfId="0" applyBorder="1"/>
    <xf numFmtId="0" fontId="4" fillId="0" borderId="38" xfId="0" applyFont="1" applyBorder="1"/>
    <xf numFmtId="10" fontId="4" fillId="0" borderId="39" xfId="1" applyNumberFormat="1" applyFont="1" applyBorder="1"/>
    <xf numFmtId="0" fontId="0" fillId="0" borderId="36" xfId="0" applyFont="1" applyBorder="1"/>
    <xf numFmtId="0" fontId="0" fillId="0" borderId="40" xfId="0" applyFont="1" applyBorder="1"/>
    <xf numFmtId="0" fontId="0" fillId="0" borderId="42" xfId="0" applyBorder="1"/>
    <xf numFmtId="0" fontId="4" fillId="0" borderId="36" xfId="0" applyFont="1" applyBorder="1"/>
    <xf numFmtId="10" fontId="4" fillId="0" borderId="41" xfId="1" applyNumberFormat="1" applyFont="1" applyBorder="1"/>
    <xf numFmtId="0" fontId="4" fillId="0" borderId="44" xfId="0" applyFont="1" applyBorder="1"/>
    <xf numFmtId="0" fontId="4" fillId="0" borderId="41" xfId="0" applyFont="1" applyBorder="1"/>
    <xf numFmtId="0" fontId="2" fillId="0" borderId="30" xfId="0" applyNumberFormat="1" applyFont="1" applyBorder="1"/>
    <xf numFmtId="10" fontId="3" fillId="0" borderId="33" xfId="1" applyNumberFormat="1" applyFont="1" applyBorder="1"/>
    <xf numFmtId="10" fontId="3" fillId="0" borderId="45" xfId="1" applyNumberFormat="1" applyFont="1" applyBorder="1"/>
    <xf numFmtId="10" fontId="4" fillId="0" borderId="46" xfId="1" applyNumberFormat="1" applyFont="1" applyBorder="1"/>
    <xf numFmtId="10" fontId="4" fillId="0" borderId="46" xfId="1" applyNumberFormat="1" applyFont="1" applyBorder="1" applyAlignment="1">
      <alignment vertical="center"/>
    </xf>
    <xf numFmtId="0" fontId="0" fillId="0" borderId="34" xfId="0" applyFont="1" applyBorder="1"/>
    <xf numFmtId="0" fontId="0" fillId="0" borderId="27" xfId="0" applyFont="1" applyBorder="1"/>
    <xf numFmtId="10" fontId="3" fillId="0" borderId="48" xfId="1" applyNumberFormat="1" applyFont="1" applyBorder="1"/>
    <xf numFmtId="0" fontId="4" fillId="0" borderId="49" xfId="0" applyFont="1" applyBorder="1"/>
    <xf numFmtId="0" fontId="0" fillId="0" borderId="42" xfId="0" applyFont="1" applyBorder="1"/>
    <xf numFmtId="0" fontId="0" fillId="0" borderId="25" xfId="0" applyFont="1" applyBorder="1"/>
    <xf numFmtId="166" fontId="0" fillId="0" borderId="25" xfId="0" applyNumberFormat="1" applyFont="1" applyBorder="1"/>
    <xf numFmtId="166" fontId="0" fillId="0" borderId="18" xfId="0" applyNumberFormat="1" applyFont="1" applyFill="1" applyBorder="1"/>
    <xf numFmtId="10" fontId="4" fillId="0" borderId="45" xfId="1" applyNumberFormat="1" applyFont="1" applyBorder="1"/>
    <xf numFmtId="0" fontId="0" fillId="0" borderId="50" xfId="0" applyFont="1" applyBorder="1"/>
    <xf numFmtId="0" fontId="0" fillId="0" borderId="22" xfId="0" applyFont="1" applyBorder="1"/>
    <xf numFmtId="0" fontId="4" fillId="0" borderId="15" xfId="0" applyFont="1" applyBorder="1" applyAlignment="1">
      <alignment vertical="center" wrapText="1"/>
    </xf>
    <xf numFmtId="166" fontId="4" fillId="0" borderId="15" xfId="0" applyNumberFormat="1" applyFont="1" applyBorder="1" applyAlignment="1">
      <alignment vertical="center"/>
    </xf>
    <xf numFmtId="165" fontId="0" fillId="0" borderId="15" xfId="0" applyNumberFormat="1" applyFont="1" applyBorder="1"/>
    <xf numFmtId="165" fontId="4" fillId="0" borderId="21" xfId="0" applyNumberFormat="1" applyFont="1" applyBorder="1"/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 wrapText="1"/>
    </xf>
    <xf numFmtId="166" fontId="4" fillId="0" borderId="51" xfId="0" applyNumberFormat="1" applyFont="1" applyBorder="1" applyAlignment="1">
      <alignment vertical="center"/>
    </xf>
    <xf numFmtId="10" fontId="4" fillId="0" borderId="33" xfId="1" applyNumberFormat="1" applyFont="1" applyBorder="1" applyAlignment="1">
      <alignment vertical="center"/>
    </xf>
    <xf numFmtId="10" fontId="0" fillId="0" borderId="45" xfId="1" applyNumberFormat="1" applyFont="1" applyBorder="1"/>
    <xf numFmtId="49" fontId="5" fillId="0" borderId="19" xfId="0" applyNumberFormat="1" applyFont="1" applyBorder="1" applyAlignment="1"/>
    <xf numFmtId="0" fontId="0" fillId="0" borderId="47" xfId="0" applyBorder="1"/>
    <xf numFmtId="0" fontId="0" fillId="0" borderId="40" xfId="0" applyBorder="1"/>
    <xf numFmtId="166" fontId="0" fillId="0" borderId="26" xfId="0" applyNumberFormat="1" applyFont="1" applyBorder="1"/>
    <xf numFmtId="0" fontId="4" fillId="0" borderId="54" xfId="0" applyFont="1" applyBorder="1"/>
    <xf numFmtId="166" fontId="4" fillId="0" borderId="55" xfId="0" applyNumberFormat="1" applyFont="1" applyBorder="1" applyAlignment="1">
      <alignment vertical="center"/>
    </xf>
    <xf numFmtId="10" fontId="4" fillId="0" borderId="53" xfId="1" applyNumberFormat="1" applyFont="1" applyBorder="1"/>
    <xf numFmtId="10" fontId="3" fillId="0" borderId="37" xfId="1" applyNumberFormat="1" applyFont="1" applyBorder="1"/>
    <xf numFmtId="10" fontId="4" fillId="0" borderId="39" xfId="1" applyNumberFormat="1" applyFont="1" applyBorder="1" applyAlignment="1">
      <alignment vertical="center"/>
    </xf>
    <xf numFmtId="10" fontId="3" fillId="0" borderId="35" xfId="1" applyNumberFormat="1" applyFont="1" applyBorder="1"/>
    <xf numFmtId="10" fontId="0" fillId="0" borderId="48" xfId="1" applyNumberFormat="1" applyFont="1" applyBorder="1"/>
    <xf numFmtId="0" fontId="4" fillId="0" borderId="5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0" fillId="0" borderId="38" xfId="0" applyBorder="1"/>
    <xf numFmtId="0" fontId="0" fillId="0" borderId="15" xfId="0" applyFill="1" applyBorder="1"/>
    <xf numFmtId="166" fontId="4" fillId="0" borderId="51" xfId="0" applyNumberFormat="1" applyFont="1" applyBorder="1" applyAlignment="1">
      <alignment vertical="center" wrapText="1"/>
    </xf>
    <xf numFmtId="166" fontId="4" fillId="0" borderId="15" xfId="0" applyNumberFormat="1" applyFont="1" applyBorder="1" applyAlignment="1">
      <alignment vertical="center" wrapText="1"/>
    </xf>
    <xf numFmtId="0" fontId="2" fillId="0" borderId="19" xfId="0" applyNumberFormat="1" applyFont="1" applyBorder="1"/>
    <xf numFmtId="0" fontId="0" fillId="0" borderId="23" xfId="0" applyFont="1" applyBorder="1"/>
    <xf numFmtId="166" fontId="4" fillId="0" borderId="33" xfId="0" applyNumberFormat="1" applyFont="1" applyBorder="1"/>
    <xf numFmtId="0" fontId="13" fillId="0" borderId="0" xfId="0" applyFont="1"/>
    <xf numFmtId="10" fontId="13" fillId="0" borderId="0" xfId="1" applyNumberFormat="1" applyFont="1"/>
    <xf numFmtId="0" fontId="14" fillId="0" borderId="0" xfId="0" applyFont="1"/>
    <xf numFmtId="0" fontId="0" fillId="0" borderId="18" xfId="0" applyFill="1" applyBorder="1"/>
    <xf numFmtId="0" fontId="0" fillId="0" borderId="38" xfId="0" applyFont="1" applyBorder="1"/>
    <xf numFmtId="0" fontId="0" fillId="0" borderId="56" xfId="0" applyFont="1" applyBorder="1"/>
    <xf numFmtId="0" fontId="4" fillId="0" borderId="40" xfId="0" applyFont="1" applyBorder="1"/>
    <xf numFmtId="0" fontId="4" fillId="0" borderId="13" xfId="0" applyFont="1" applyBorder="1"/>
    <xf numFmtId="0" fontId="4" fillId="0" borderId="58" xfId="0" applyFont="1" applyBorder="1"/>
    <xf numFmtId="0" fontId="4" fillId="0" borderId="57" xfId="0" applyFont="1" applyBorder="1"/>
    <xf numFmtId="10" fontId="0" fillId="0" borderId="33" xfId="1" applyNumberFormat="1" applyFont="1" applyFill="1" applyBorder="1"/>
    <xf numFmtId="0" fontId="15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0" applyNumberFormat="1"/>
    <xf numFmtId="0" fontId="0" fillId="0" borderId="24" xfId="0" applyBorder="1" applyAlignment="1">
      <alignment wrapText="1"/>
    </xf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0" fillId="0" borderId="33" xfId="0" applyBorder="1"/>
    <xf numFmtId="0" fontId="0" fillId="0" borderId="0" xfId="0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32" xfId="0" quotePrefix="1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4" xfId="0" applyBorder="1"/>
    <xf numFmtId="10" fontId="0" fillId="4" borderId="15" xfId="1" applyNumberFormat="1" applyFon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10" fontId="4" fillId="4" borderId="21" xfId="1" applyNumberFormat="1" applyFont="1" applyFill="1" applyBorder="1" applyAlignment="1">
      <alignment horizontal="center"/>
    </xf>
    <xf numFmtId="10" fontId="4" fillId="4" borderId="7" xfId="1" applyNumberFormat="1" applyFont="1" applyFill="1" applyBorder="1" applyAlignment="1">
      <alignment horizontal="center"/>
    </xf>
    <xf numFmtId="10" fontId="4" fillId="4" borderId="16" xfId="1" applyNumberFormat="1" applyFont="1" applyFill="1" applyBorder="1" applyAlignment="1">
      <alignment horizontal="center"/>
    </xf>
    <xf numFmtId="10" fontId="4" fillId="4" borderId="3" xfId="1" applyNumberFormat="1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9" fontId="16" fillId="0" borderId="0" xfId="1" applyFont="1" applyBorder="1" applyAlignment="1">
      <alignment horizontal="center"/>
    </xf>
    <xf numFmtId="10" fontId="4" fillId="5" borderId="0" xfId="0" applyNumberFormat="1" applyFont="1" applyFill="1"/>
    <xf numFmtId="10" fontId="4" fillId="5" borderId="0" xfId="0" applyNumberFormat="1" applyFont="1" applyFill="1" applyAlignment="1">
      <alignment vertical="center"/>
    </xf>
    <xf numFmtId="0" fontId="4" fillId="0" borderId="38" xfId="0" applyFont="1" applyFill="1" applyBorder="1"/>
    <xf numFmtId="0" fontId="4" fillId="0" borderId="7" xfId="0" applyFont="1" applyFill="1" applyBorder="1"/>
    <xf numFmtId="10" fontId="4" fillId="0" borderId="39" xfId="1" applyNumberFormat="1" applyFont="1" applyFill="1" applyBorder="1"/>
    <xf numFmtId="0" fontId="4" fillId="0" borderId="59" xfId="0" applyFont="1" applyFill="1" applyBorder="1"/>
    <xf numFmtId="0" fontId="4" fillId="0" borderId="21" xfId="0" applyFont="1" applyFill="1" applyBorder="1"/>
    <xf numFmtId="10" fontId="4" fillId="0" borderId="39" xfId="1" applyNumberFormat="1" applyFont="1" applyFill="1" applyBorder="1" applyAlignment="1">
      <alignment vertical="center"/>
    </xf>
    <xf numFmtId="10" fontId="0" fillId="0" borderId="45" xfId="1" applyNumberFormat="1" applyFont="1" applyFill="1" applyBorder="1"/>
    <xf numFmtId="10" fontId="4" fillId="0" borderId="46" xfId="1" applyNumberFormat="1" applyFont="1" applyFill="1" applyBorder="1" applyAlignment="1">
      <alignment vertical="center"/>
    </xf>
    <xf numFmtId="0" fontId="0" fillId="0" borderId="40" xfId="0" applyFont="1" applyFill="1" applyBorder="1"/>
    <xf numFmtId="10" fontId="0" fillId="0" borderId="41" xfId="1" applyNumberFormat="1" applyFont="1" applyFill="1" applyBorder="1"/>
    <xf numFmtId="0" fontId="0" fillId="0" borderId="32" xfId="0" applyFont="1" applyFill="1" applyBorder="1"/>
    <xf numFmtId="0" fontId="0" fillId="0" borderId="15" xfId="0" applyFont="1" applyFill="1" applyBorder="1"/>
    <xf numFmtId="10" fontId="0" fillId="0" borderId="37" xfId="1" applyNumberFormat="1" applyFont="1" applyFill="1" applyBorder="1"/>
    <xf numFmtId="10" fontId="3" fillId="0" borderId="37" xfId="1" applyNumberFormat="1" applyFont="1" applyFill="1" applyBorder="1" applyAlignment="1">
      <alignment vertical="center"/>
    </xf>
    <xf numFmtId="166" fontId="4" fillId="0" borderId="15" xfId="0" applyNumberFormat="1" applyFont="1" applyFill="1" applyBorder="1"/>
    <xf numFmtId="166" fontId="4" fillId="0" borderId="37" xfId="0" applyNumberFormat="1" applyFont="1" applyFill="1" applyBorder="1"/>
    <xf numFmtId="0" fontId="0" fillId="0" borderId="36" xfId="0" applyFont="1" applyFill="1" applyBorder="1"/>
    <xf numFmtId="166" fontId="4" fillId="0" borderId="51" xfId="0" applyNumberFormat="1" applyFont="1" applyFill="1" applyBorder="1" applyAlignment="1">
      <alignment vertical="center"/>
    </xf>
    <xf numFmtId="0" fontId="0" fillId="0" borderId="25" xfId="0" applyFont="1" applyFill="1" applyBorder="1"/>
    <xf numFmtId="10" fontId="3" fillId="0" borderId="45" xfId="1" applyNumberFormat="1" applyFont="1" applyFill="1" applyBorder="1"/>
    <xf numFmtId="0" fontId="0" fillId="0" borderId="22" xfId="0" applyFont="1" applyFill="1" applyBorder="1"/>
    <xf numFmtId="10" fontId="3" fillId="0" borderId="33" xfId="1" applyNumberFormat="1" applyFont="1" applyFill="1" applyBorder="1"/>
    <xf numFmtId="0" fontId="0" fillId="0" borderId="42" xfId="0" applyFont="1" applyFill="1" applyBorder="1"/>
    <xf numFmtId="166" fontId="0" fillId="0" borderId="25" xfId="0" applyNumberFormat="1" applyFont="1" applyFill="1" applyBorder="1"/>
    <xf numFmtId="10" fontId="3" fillId="0" borderId="48" xfId="1" applyNumberFormat="1" applyFont="1" applyFill="1" applyBorder="1"/>
    <xf numFmtId="0" fontId="0" fillId="0" borderId="18" xfId="0" applyFont="1" applyFill="1" applyBorder="1"/>
    <xf numFmtId="0" fontId="4" fillId="0" borderId="3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166" fontId="4" fillId="0" borderId="21" xfId="0" applyNumberFormat="1" applyFont="1" applyFill="1" applyBorder="1" applyAlignment="1">
      <alignment vertical="center"/>
    </xf>
    <xf numFmtId="10" fontId="3" fillId="0" borderId="33" xfId="1" applyNumberFormat="1" applyFont="1" applyFill="1" applyBorder="1" applyAlignment="1">
      <alignment vertical="center"/>
    </xf>
    <xf numFmtId="0" fontId="0" fillId="0" borderId="50" xfId="0" applyFont="1" applyFill="1" applyBorder="1"/>
    <xf numFmtId="0" fontId="4" fillId="0" borderId="51" xfId="0" applyFont="1" applyFill="1" applyBorder="1"/>
    <xf numFmtId="166" fontId="4" fillId="0" borderId="51" xfId="0" applyNumberFormat="1" applyFont="1" applyFill="1" applyBorder="1"/>
    <xf numFmtId="0" fontId="4" fillId="0" borderId="40" xfId="0" applyFont="1" applyFill="1" applyBorder="1"/>
    <xf numFmtId="166" fontId="4" fillId="0" borderId="18" xfId="0" applyNumberFormat="1" applyFont="1" applyFill="1" applyBorder="1"/>
    <xf numFmtId="10" fontId="4" fillId="0" borderId="45" xfId="1" applyNumberFormat="1" applyFont="1" applyFill="1" applyBorder="1" applyAlignment="1">
      <alignment vertical="center"/>
    </xf>
    <xf numFmtId="0" fontId="4" fillId="0" borderId="36" xfId="0" applyFont="1" applyFill="1" applyBorder="1"/>
    <xf numFmtId="10" fontId="4" fillId="0" borderId="33" xfId="1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 wrapText="1"/>
    </xf>
    <xf numFmtId="166" fontId="4" fillId="0" borderId="25" xfId="0" applyNumberFormat="1" applyFont="1" applyFill="1" applyBorder="1" applyAlignment="1">
      <alignment vertical="center"/>
    </xf>
    <xf numFmtId="10" fontId="4" fillId="0" borderId="48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66" fontId="0" fillId="0" borderId="15" xfId="0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4" fillId="0" borderId="50" xfId="0" applyFont="1" applyFill="1" applyBorder="1"/>
    <xf numFmtId="0" fontId="0" fillId="0" borderId="42" xfId="0" applyFill="1" applyBorder="1"/>
    <xf numFmtId="0" fontId="0" fillId="0" borderId="25" xfId="0" applyFill="1" applyBorder="1"/>
    <xf numFmtId="166" fontId="0" fillId="0" borderId="25" xfId="0" applyNumberFormat="1" applyFill="1" applyBorder="1"/>
    <xf numFmtId="10" fontId="0" fillId="0" borderId="48" xfId="1" applyNumberFormat="1" applyFont="1" applyFill="1" applyBorder="1"/>
    <xf numFmtId="0" fontId="4" fillId="0" borderId="36" xfId="0" applyFont="1" applyFill="1" applyBorder="1" applyAlignment="1">
      <alignment vertical="center" wrapText="1"/>
    </xf>
    <xf numFmtId="166" fontId="4" fillId="0" borderId="15" xfId="0" applyNumberFormat="1" applyFont="1" applyFill="1" applyBorder="1" applyAlignment="1">
      <alignment vertical="center"/>
    </xf>
    <xf numFmtId="166" fontId="4" fillId="0" borderId="15" xfId="0" applyNumberFormat="1" applyFont="1" applyFill="1" applyBorder="1" applyAlignment="1">
      <alignment vertical="center" wrapText="1"/>
    </xf>
    <xf numFmtId="0" fontId="0" fillId="0" borderId="36" xfId="0" applyFill="1" applyBorder="1"/>
    <xf numFmtId="166" fontId="0" fillId="0" borderId="15" xfId="0" applyNumberFormat="1" applyFill="1" applyBorder="1"/>
    <xf numFmtId="166" fontId="0" fillId="0" borderId="1" xfId="0" applyNumberFormat="1" applyFill="1" applyBorder="1"/>
    <xf numFmtId="0" fontId="0" fillId="0" borderId="1" xfId="0" applyFont="1" applyFill="1" applyBorder="1"/>
    <xf numFmtId="166" fontId="0" fillId="0" borderId="18" xfId="0" applyNumberFormat="1" applyFill="1" applyBorder="1"/>
    <xf numFmtId="0" fontId="0" fillId="0" borderId="40" xfId="0" applyFill="1" applyBorder="1"/>
    <xf numFmtId="0" fontId="4" fillId="0" borderId="18" xfId="0" applyFont="1" applyFill="1" applyBorder="1"/>
    <xf numFmtId="10" fontId="4" fillId="0" borderId="46" xfId="1" applyNumberFormat="1" applyFont="1" applyFill="1" applyBorder="1"/>
    <xf numFmtId="0" fontId="0" fillId="0" borderId="12" xfId="0" applyFill="1" applyBorder="1"/>
    <xf numFmtId="0" fontId="4" fillId="0" borderId="15" xfId="0" applyFont="1" applyFill="1" applyBorder="1"/>
    <xf numFmtId="0" fontId="4" fillId="0" borderId="15" xfId="0" applyFont="1" applyFill="1" applyBorder="1" applyAlignment="1">
      <alignment vertical="center" wrapText="1"/>
    </xf>
    <xf numFmtId="0" fontId="0" fillId="0" borderId="17" xfId="0" applyFont="1" applyFill="1" applyBorder="1"/>
    <xf numFmtId="0" fontId="0" fillId="0" borderId="32" xfId="0" applyFill="1" applyBorder="1"/>
    <xf numFmtId="0" fontId="0" fillId="0" borderId="23" xfId="0" applyFill="1" applyBorder="1"/>
    <xf numFmtId="166" fontId="4" fillId="0" borderId="25" xfId="0" applyNumberFormat="1" applyFont="1" applyFill="1" applyBorder="1"/>
    <xf numFmtId="10" fontId="4" fillId="0" borderId="35" xfId="1" applyNumberFormat="1" applyFont="1" applyFill="1" applyBorder="1"/>
    <xf numFmtId="0" fontId="0" fillId="0" borderId="15" xfId="0" applyFont="1" applyFill="1" applyBorder="1" applyAlignment="1">
      <alignment vertical="center" wrapText="1"/>
    </xf>
    <xf numFmtId="166" fontId="4" fillId="0" borderId="33" xfId="0" applyNumberFormat="1" applyFont="1" applyFill="1" applyBorder="1"/>
    <xf numFmtId="0" fontId="0" fillId="0" borderId="38" xfId="0" applyFont="1" applyFill="1" applyBorder="1"/>
    <xf numFmtId="0" fontId="0" fillId="0" borderId="56" xfId="0" applyFont="1" applyFill="1" applyBorder="1"/>
    <xf numFmtId="0" fontId="0" fillId="0" borderId="0" xfId="0" applyFill="1"/>
    <xf numFmtId="10" fontId="0" fillId="0" borderId="0" xfId="1" applyNumberFormat="1" applyFont="1" applyFill="1"/>
    <xf numFmtId="0" fontId="2" fillId="0" borderId="24" xfId="0" applyFont="1" applyFill="1" applyBorder="1"/>
    <xf numFmtId="0" fontId="2" fillId="0" borderId="19" xfId="0" applyNumberFormat="1" applyFont="1" applyFill="1" applyBorder="1"/>
    <xf numFmtId="0" fontId="2" fillId="0" borderId="30" xfId="0" applyFont="1" applyFill="1" applyBorder="1"/>
    <xf numFmtId="10" fontId="2" fillId="0" borderId="31" xfId="1" applyNumberFormat="1" applyFont="1" applyFill="1" applyBorder="1"/>
    <xf numFmtId="0" fontId="0" fillId="0" borderId="0" xfId="0" applyFill="1" applyBorder="1"/>
    <xf numFmtId="0" fontId="4" fillId="0" borderId="32" xfId="0" applyFont="1" applyFill="1" applyBorder="1"/>
    <xf numFmtId="49" fontId="5" fillId="0" borderId="19" xfId="0" applyNumberFormat="1" applyFont="1" applyFill="1" applyBorder="1" applyAlignment="1"/>
    <xf numFmtId="0" fontId="4" fillId="0" borderId="0" xfId="0" applyFont="1" applyFill="1" applyBorder="1"/>
    <xf numFmtId="10" fontId="4" fillId="0" borderId="33" xfId="1" applyNumberFormat="1" applyFont="1" applyFill="1" applyBorder="1"/>
    <xf numFmtId="0" fontId="4" fillId="0" borderId="49" xfId="0" applyFont="1" applyFill="1" applyBorder="1"/>
    <xf numFmtId="0" fontId="4" fillId="0" borderId="29" xfId="0" applyFont="1" applyFill="1" applyBorder="1"/>
    <xf numFmtId="10" fontId="4" fillId="0" borderId="20" xfId="1" applyNumberFormat="1" applyFont="1" applyFill="1" applyBorder="1"/>
    <xf numFmtId="0" fontId="4" fillId="0" borderId="50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 wrapText="1"/>
    </xf>
    <xf numFmtId="166" fontId="4" fillId="0" borderId="55" xfId="0" applyNumberFormat="1" applyFont="1" applyFill="1" applyBorder="1" applyAlignment="1">
      <alignment vertical="center"/>
    </xf>
    <xf numFmtId="166" fontId="0" fillId="0" borderId="27" xfId="0" applyNumberFormat="1" applyFont="1" applyFill="1" applyBorder="1"/>
    <xf numFmtId="10" fontId="3" fillId="0" borderId="35" xfId="1" applyNumberFormat="1" applyFont="1" applyFill="1" applyBorder="1"/>
    <xf numFmtId="166" fontId="0" fillId="0" borderId="26" xfId="0" applyNumberFormat="1" applyFont="1" applyFill="1" applyBorder="1"/>
    <xf numFmtId="0" fontId="0" fillId="0" borderId="47" xfId="0" applyFont="1" applyFill="1" applyBorder="1"/>
    <xf numFmtId="0" fontId="0" fillId="0" borderId="34" xfId="0" applyFont="1" applyFill="1" applyBorder="1"/>
    <xf numFmtId="10" fontId="3" fillId="0" borderId="41" xfId="1" applyNumberFormat="1" applyFont="1" applyFill="1" applyBorder="1"/>
    <xf numFmtId="0" fontId="0" fillId="0" borderId="57" xfId="0" applyFont="1" applyFill="1" applyBorder="1"/>
    <xf numFmtId="0" fontId="4" fillId="0" borderId="57" xfId="0" applyFont="1" applyFill="1" applyBorder="1"/>
    <xf numFmtId="10" fontId="3" fillId="0" borderId="37" xfId="1" applyNumberFormat="1" applyFont="1" applyFill="1" applyBorder="1"/>
    <xf numFmtId="0" fontId="0" fillId="0" borderId="0" xfId="0" applyFont="1" applyFill="1"/>
    <xf numFmtId="165" fontId="0" fillId="0" borderId="0" xfId="0" applyNumberFormat="1" applyFont="1" applyFill="1"/>
    <xf numFmtId="10" fontId="3" fillId="0" borderId="0" xfId="1" applyNumberFormat="1" applyFont="1" applyFill="1"/>
    <xf numFmtId="2" fontId="2" fillId="0" borderId="19" xfId="0" applyNumberFormat="1" applyFont="1" applyFill="1" applyBorder="1"/>
    <xf numFmtId="49" fontId="5" fillId="0" borderId="19" xfId="0" applyNumberFormat="1" applyFont="1" applyFill="1" applyBorder="1"/>
    <xf numFmtId="166" fontId="4" fillId="0" borderId="16" xfId="0" applyNumberFormat="1" applyFont="1" applyFill="1" applyBorder="1"/>
    <xf numFmtId="166" fontId="4" fillId="0" borderId="16" xfId="0" applyNumberFormat="1" applyFont="1" applyFill="1" applyBorder="1" applyAlignment="1">
      <alignment horizontal="center"/>
    </xf>
    <xf numFmtId="0" fontId="4" fillId="0" borderId="0" xfId="0" applyFont="1" applyFill="1"/>
    <xf numFmtId="10" fontId="4" fillId="0" borderId="0" xfId="1" applyNumberFormat="1" applyFont="1" applyFill="1"/>
    <xf numFmtId="0" fontId="17" fillId="6" borderId="11" xfId="6" applyNumberFormat="1" applyFont="1" applyFill="1" applyBorder="1"/>
    <xf numFmtId="0" fontId="17" fillId="0" borderId="0" xfId="6" applyNumberFormat="1" applyFont="1"/>
    <xf numFmtId="3" fontId="18" fillId="0" borderId="0" xfId="6" applyNumberFormat="1" applyFont="1" applyAlignment="1">
      <alignment horizontal="right"/>
    </xf>
    <xf numFmtId="3" fontId="17" fillId="0" borderId="0" xfId="6" applyNumberFormat="1" applyFont="1" applyAlignment="1">
      <alignment horizontal="right"/>
    </xf>
    <xf numFmtId="169" fontId="17" fillId="0" borderId="0" xfId="6" applyNumberFormat="1" applyFont="1" applyAlignment="1">
      <alignment horizontal="right"/>
    </xf>
    <xf numFmtId="0" fontId="0" fillId="5" borderId="0" xfId="0" applyNumberFormat="1" applyFont="1" applyFill="1"/>
    <xf numFmtId="0" fontId="0" fillId="7" borderId="0" xfId="0" applyNumberFormat="1" applyFont="1" applyFill="1"/>
    <xf numFmtId="0" fontId="0" fillId="8" borderId="0" xfId="0" applyNumberFormat="1" applyFont="1" applyFill="1"/>
    <xf numFmtId="0" fontId="0" fillId="9" borderId="0" xfId="0" applyNumberFormat="1" applyFont="1" applyFill="1"/>
    <xf numFmtId="0" fontId="0" fillId="10" borderId="0" xfId="0" applyNumberFormat="1" applyFont="1" applyFill="1"/>
    <xf numFmtId="0" fontId="0" fillId="11" borderId="0" xfId="0" applyNumberFormat="1" applyFont="1" applyFill="1"/>
    <xf numFmtId="0" fontId="0" fillId="11" borderId="0" xfId="0" applyNumberFormat="1" applyFont="1" applyFill="1" applyBorder="1"/>
    <xf numFmtId="0" fontId="0" fillId="12" borderId="0" xfId="0" applyNumberFormat="1" applyFont="1" applyFill="1"/>
    <xf numFmtId="0" fontId="0" fillId="13" borderId="0" xfId="0" applyNumberFormat="1" applyFont="1" applyFill="1"/>
    <xf numFmtId="0" fontId="0" fillId="14" borderId="0" xfId="0" applyNumberFormat="1" applyFont="1" applyFill="1"/>
    <xf numFmtId="0" fontId="0" fillId="15" borderId="0" xfId="0" applyNumberFormat="1" applyFont="1" applyFill="1"/>
    <xf numFmtId="0" fontId="0" fillId="16" borderId="0" xfId="0" applyNumberFormat="1" applyFont="1" applyFill="1"/>
    <xf numFmtId="0" fontId="0" fillId="17" borderId="0" xfId="0" applyNumberFormat="1" applyFont="1" applyFill="1"/>
    <xf numFmtId="0" fontId="0" fillId="18" borderId="0" xfId="0" applyNumberFormat="1" applyFont="1" applyFill="1"/>
    <xf numFmtId="0" fontId="0" fillId="19" borderId="0" xfId="0" applyNumberFormat="1" applyFont="1" applyFill="1"/>
    <xf numFmtId="0" fontId="0" fillId="20" borderId="0" xfId="0" applyNumberFormat="1" applyFont="1" applyFill="1"/>
    <xf numFmtId="0" fontId="0" fillId="21" borderId="0" xfId="0" applyNumberFormat="1" applyFont="1" applyFill="1"/>
    <xf numFmtId="0" fontId="0" fillId="22" borderId="0" xfId="0" applyNumberFormat="1" applyFont="1" applyFill="1"/>
    <xf numFmtId="170" fontId="0" fillId="0" borderId="0" xfId="7" applyNumberFormat="1" applyFont="1"/>
    <xf numFmtId="0" fontId="6" fillId="0" borderId="17" xfId="2" applyFill="1" applyBorder="1"/>
    <xf numFmtId="0" fontId="6" fillId="0" borderId="15" xfId="2" applyFill="1" applyBorder="1"/>
    <xf numFmtId="170" fontId="0" fillId="0" borderId="0" xfId="8" applyNumberFormat="1" applyFont="1"/>
    <xf numFmtId="0" fontId="19" fillId="0" borderId="0" xfId="0" applyNumberFormat="1" applyFont="1" applyFill="1"/>
    <xf numFmtId="0" fontId="19" fillId="3" borderId="0" xfId="0" applyNumberFormat="1" applyFont="1" applyFill="1"/>
    <xf numFmtId="3" fontId="19" fillId="0" borderId="0" xfId="0" applyNumberFormat="1" applyFont="1" applyFill="1"/>
    <xf numFmtId="0" fontId="0" fillId="8" borderId="0" xfId="0" applyNumberFormat="1" applyFont="1" applyFill="1" applyBorder="1"/>
    <xf numFmtId="0" fontId="0" fillId="7" borderId="0" xfId="0" applyNumberFormat="1" applyFont="1" applyFill="1" applyBorder="1"/>
    <xf numFmtId="14" fontId="0" fillId="0" borderId="0" xfId="0" applyNumberFormat="1" applyFont="1"/>
    <xf numFmtId="0" fontId="0" fillId="16" borderId="0" xfId="0" applyNumberFormat="1" applyFont="1" applyFill="1" applyBorder="1"/>
    <xf numFmtId="0" fontId="0" fillId="17" borderId="0" xfId="0" applyNumberFormat="1" applyFont="1" applyFill="1" applyBorder="1"/>
    <xf numFmtId="0" fontId="0" fillId="20" borderId="0" xfId="0" applyNumberFormat="1" applyFont="1" applyFill="1" applyBorder="1"/>
    <xf numFmtId="0" fontId="0" fillId="22" borderId="0" xfId="0" applyNumberFormat="1" applyFont="1" applyFill="1" applyBorder="1"/>
    <xf numFmtId="170" fontId="0" fillId="0" borderId="0" xfId="0" applyNumberFormat="1" applyFont="1"/>
    <xf numFmtId="0" fontId="0" fillId="10" borderId="0" xfId="0" applyNumberFormat="1" applyFont="1" applyFill="1" applyBorder="1"/>
    <xf numFmtId="170" fontId="0" fillId="0" borderId="0" xfId="8" applyNumberFormat="1" applyFont="1" applyFill="1"/>
    <xf numFmtId="3" fontId="0" fillId="0" borderId="0" xfId="0" applyNumberFormat="1" applyFont="1"/>
    <xf numFmtId="0" fontId="0" fillId="9" borderId="0" xfId="0" applyNumberFormat="1" applyFont="1" applyFill="1" applyBorder="1"/>
    <xf numFmtId="3" fontId="20" fillId="0" borderId="0" xfId="0" applyNumberFormat="1" applyFont="1" applyFill="1"/>
    <xf numFmtId="3" fontId="0" fillId="0" borderId="0" xfId="0" applyNumberFormat="1" applyFont="1" applyFill="1"/>
    <xf numFmtId="4" fontId="0" fillId="0" borderId="0" xfId="0" applyNumberFormat="1" applyFont="1" applyFill="1"/>
    <xf numFmtId="170" fontId="0" fillId="17" borderId="0" xfId="7" applyNumberFormat="1" applyFont="1" applyFill="1"/>
    <xf numFmtId="170" fontId="0" fillId="18" borderId="0" xfId="7" applyNumberFormat="1" applyFont="1" applyFill="1"/>
    <xf numFmtId="170" fontId="0" fillId="8" borderId="0" xfId="7" applyNumberFormat="1" applyFont="1" applyFill="1"/>
    <xf numFmtId="170" fontId="12" fillId="0" borderId="0" xfId="7" applyNumberFormat="1" applyFont="1"/>
    <xf numFmtId="170" fontId="4" fillId="10" borderId="0" xfId="7" applyNumberFormat="1" applyFont="1" applyFill="1"/>
    <xf numFmtId="170" fontId="4" fillId="13" borderId="0" xfId="7" applyNumberFormat="1" applyFont="1" applyFill="1"/>
    <xf numFmtId="0" fontId="0" fillId="19" borderId="0" xfId="0" applyNumberFormat="1" applyFont="1" applyFill="1" applyBorder="1"/>
    <xf numFmtId="0" fontId="0" fillId="23" borderId="0" xfId="0" applyNumberFormat="1" applyFont="1" applyFill="1"/>
    <xf numFmtId="170" fontId="0" fillId="11" borderId="0" xfId="7" applyNumberFormat="1" applyFont="1" applyFill="1" applyAlignment="1">
      <alignment horizontal="right"/>
    </xf>
    <xf numFmtId="0" fontId="0" fillId="12" borderId="0" xfId="0" applyNumberFormat="1" applyFont="1" applyFill="1" applyBorder="1"/>
    <xf numFmtId="0" fontId="0" fillId="21" borderId="0" xfId="0" applyNumberFormat="1" applyFont="1" applyFill="1" applyBorder="1"/>
    <xf numFmtId="0" fontId="0" fillId="18" borderId="0" xfId="0" applyNumberFormat="1" applyFont="1" applyFill="1" applyBorder="1"/>
    <xf numFmtId="170" fontId="0" fillId="0" borderId="0" xfId="7" applyNumberFormat="1" applyFont="1" applyFill="1"/>
    <xf numFmtId="0" fontId="0" fillId="23" borderId="0" xfId="0" applyNumberFormat="1" applyFont="1" applyFill="1" applyBorder="1"/>
    <xf numFmtId="0" fontId="4" fillId="13" borderId="0" xfId="0" applyNumberFormat="1" applyFont="1" applyFill="1" applyBorder="1"/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left"/>
    </xf>
    <xf numFmtId="0" fontId="0" fillId="5" borderId="0" xfId="0" applyNumberFormat="1" applyFont="1" applyFill="1" applyBorder="1"/>
    <xf numFmtId="0" fontId="0" fillId="15" borderId="0" xfId="0" applyNumberFormat="1" applyFont="1" applyFill="1" applyBorder="1"/>
    <xf numFmtId="0" fontId="4" fillId="10" borderId="0" xfId="0" applyNumberFormat="1" applyFont="1" applyFill="1" applyBorder="1"/>
    <xf numFmtId="0" fontId="0" fillId="3" borderId="11" xfId="0" applyNumberFormat="1" applyFont="1" applyFill="1" applyBorder="1"/>
    <xf numFmtId="0" fontId="0" fillId="3" borderId="63" xfId="0" applyNumberFormat="1" applyFont="1" applyFill="1" applyBorder="1"/>
    <xf numFmtId="0" fontId="0" fillId="13" borderId="0" xfId="0" applyNumberFormat="1" applyFont="1" applyFill="1" applyBorder="1"/>
    <xf numFmtId="170" fontId="0" fillId="8" borderId="0" xfId="7" applyNumberFormat="1" applyFont="1" applyFill="1" applyAlignment="1">
      <alignment horizontal="right"/>
    </xf>
    <xf numFmtId="170" fontId="0" fillId="14" borderId="0" xfId="7" applyNumberFormat="1" applyFont="1" applyFill="1" applyAlignment="1">
      <alignment horizontal="right"/>
    </xf>
    <xf numFmtId="170" fontId="0" fillId="15" borderId="0" xfId="7" applyNumberFormat="1" applyFont="1" applyFill="1" applyAlignment="1">
      <alignment horizontal="right"/>
    </xf>
    <xf numFmtId="170" fontId="0" fillId="20" borderId="0" xfId="7" applyNumberFormat="1" applyFont="1" applyFill="1" applyAlignment="1">
      <alignment horizontal="right"/>
    </xf>
    <xf numFmtId="170" fontId="0" fillId="18" borderId="0" xfId="7" applyNumberFormat="1" applyFont="1" applyFill="1" applyAlignment="1">
      <alignment horizontal="right"/>
    </xf>
    <xf numFmtId="170" fontId="0" fillId="21" borderId="0" xfId="7" applyNumberFormat="1" applyFont="1" applyFill="1" applyAlignment="1">
      <alignment horizontal="right"/>
    </xf>
    <xf numFmtId="170" fontId="0" fillId="22" borderId="0" xfId="7" applyNumberFormat="1" applyFont="1" applyFill="1" applyAlignment="1">
      <alignment horizontal="right"/>
    </xf>
    <xf numFmtId="170" fontId="0" fillId="10" borderId="0" xfId="7" applyNumberFormat="1" applyFont="1" applyFill="1" applyAlignment="1">
      <alignment horizontal="right"/>
    </xf>
    <xf numFmtId="170" fontId="0" fillId="9" borderId="0" xfId="7" applyNumberFormat="1" applyFont="1" applyFill="1" applyAlignment="1">
      <alignment horizontal="right"/>
    </xf>
    <xf numFmtId="170" fontId="0" fillId="5" borderId="0" xfId="7" applyNumberFormat="1" applyFont="1" applyFill="1" applyAlignment="1">
      <alignment horizontal="right"/>
    </xf>
    <xf numFmtId="170" fontId="0" fillId="23" borderId="0" xfId="7" applyNumberFormat="1" applyFont="1" applyFill="1" applyAlignment="1">
      <alignment horizontal="right"/>
    </xf>
    <xf numFmtId="170" fontId="0" fillId="12" borderId="0" xfId="7" applyNumberFormat="1" applyFont="1" applyFill="1" applyAlignment="1">
      <alignment horizontal="right"/>
    </xf>
    <xf numFmtId="170" fontId="0" fillId="13" borderId="0" xfId="7" applyNumberFormat="1" applyFont="1" applyFill="1" applyAlignment="1">
      <alignment horizontal="right"/>
    </xf>
    <xf numFmtId="170" fontId="0" fillId="17" borderId="0" xfId="7" applyNumberFormat="1" applyFont="1" applyFill="1" applyAlignment="1">
      <alignment horizontal="right"/>
    </xf>
    <xf numFmtId="170" fontId="0" fillId="7" borderId="0" xfId="7" applyNumberFormat="1" applyFont="1" applyFill="1" applyAlignment="1">
      <alignment horizontal="right"/>
    </xf>
    <xf numFmtId="170" fontId="0" fillId="19" borderId="0" xfId="7" applyNumberFormat="1" applyFont="1" applyFill="1" applyAlignment="1">
      <alignment horizontal="right"/>
    </xf>
    <xf numFmtId="170" fontId="0" fillId="16" borderId="0" xfId="7" applyNumberFormat="1" applyFont="1" applyFill="1" applyAlignment="1">
      <alignment horizontal="right"/>
    </xf>
    <xf numFmtId="166" fontId="0" fillId="0" borderId="22" xfId="0" applyNumberFormat="1" applyFont="1" applyFill="1" applyBorder="1"/>
    <xf numFmtId="166" fontId="0" fillId="0" borderId="1" xfId="0" applyNumberFormat="1" applyFont="1" applyFill="1" applyBorder="1"/>
    <xf numFmtId="166" fontId="10" fillId="0" borderId="0" xfId="0" applyNumberFormat="1" applyFont="1" applyFill="1"/>
    <xf numFmtId="166" fontId="22" fillId="0" borderId="0" xfId="0" applyNumberFormat="1" applyFont="1" applyFill="1"/>
    <xf numFmtId="0" fontId="22" fillId="0" borderId="0" xfId="0" applyFont="1" applyFill="1"/>
    <xf numFmtId="10" fontId="22" fillId="0" borderId="0" xfId="1" applyNumberFormat="1" applyFont="1" applyFill="1"/>
    <xf numFmtId="167" fontId="10" fillId="0" borderId="8" xfId="0" applyNumberFormat="1" applyFont="1" applyFill="1" applyBorder="1" applyAlignment="1">
      <alignment horizontal="center" vertical="center" wrapText="1"/>
    </xf>
    <xf numFmtId="0" fontId="0" fillId="15" borderId="68" xfId="0" applyNumberFormat="1" applyFont="1" applyFill="1" applyBorder="1"/>
    <xf numFmtId="0" fontId="0" fillId="14" borderId="68" xfId="0" applyNumberFormat="1" applyFont="1" applyFill="1" applyBorder="1"/>
    <xf numFmtId="0" fontId="0" fillId="7" borderId="68" xfId="0" applyNumberFormat="1" applyFont="1" applyFill="1" applyBorder="1"/>
    <xf numFmtId="0" fontId="0" fillId="8" borderId="68" xfId="0" applyNumberFormat="1" applyFont="1" applyFill="1" applyBorder="1"/>
    <xf numFmtId="0" fontId="0" fillId="20" borderId="68" xfId="0" applyNumberFormat="1" applyFont="1" applyFill="1" applyBorder="1"/>
    <xf numFmtId="0" fontId="0" fillId="11" borderId="68" xfId="0" applyNumberFormat="1" applyFont="1" applyFill="1" applyBorder="1"/>
    <xf numFmtId="0" fontId="0" fillId="21" borderId="68" xfId="0" applyNumberFormat="1" applyFont="1" applyFill="1" applyBorder="1"/>
    <xf numFmtId="0" fontId="0" fillId="22" borderId="68" xfId="0" applyNumberFormat="1" applyFont="1" applyFill="1" applyBorder="1"/>
    <xf numFmtId="0" fontId="0" fillId="9" borderId="68" xfId="0" applyNumberFormat="1" applyFont="1" applyFill="1" applyBorder="1"/>
    <xf numFmtId="0" fontId="0" fillId="13" borderId="68" xfId="0" applyNumberFormat="1" applyFont="1" applyFill="1" applyBorder="1"/>
    <xf numFmtId="0" fontId="0" fillId="5" borderId="68" xfId="0" applyNumberFormat="1" applyFont="1" applyFill="1" applyBorder="1"/>
    <xf numFmtId="0" fontId="0" fillId="19" borderId="68" xfId="0" applyNumberFormat="1" applyFont="1" applyFill="1" applyBorder="1"/>
    <xf numFmtId="0" fontId="0" fillId="16" borderId="68" xfId="0" applyNumberFormat="1" applyFont="1" applyFill="1" applyBorder="1"/>
    <xf numFmtId="0" fontId="0" fillId="23" borderId="68" xfId="0" applyNumberFormat="1" applyFont="1" applyFill="1" applyBorder="1"/>
    <xf numFmtId="0" fontId="0" fillId="18" borderId="68" xfId="0" applyNumberFormat="1" applyFont="1" applyFill="1" applyBorder="1"/>
    <xf numFmtId="0" fontId="0" fillId="17" borderId="68" xfId="0" applyNumberFormat="1" applyFont="1" applyFill="1" applyBorder="1"/>
    <xf numFmtId="0" fontId="0" fillId="10" borderId="68" xfId="0" applyNumberFormat="1" applyFont="1" applyFill="1" applyBorder="1"/>
    <xf numFmtId="0" fontId="0" fillId="12" borderId="68" xfId="0" applyNumberFormat="1" applyFont="1" applyFill="1" applyBorder="1"/>
    <xf numFmtId="14" fontId="10" fillId="4" borderId="0" xfId="0" applyNumberFormat="1" applyFont="1" applyFill="1"/>
    <xf numFmtId="0" fontId="10" fillId="0" borderId="0" xfId="0" applyFont="1" applyFill="1"/>
    <xf numFmtId="10" fontId="10" fillId="0" borderId="0" xfId="1" applyNumberFormat="1" applyFont="1" applyFill="1"/>
    <xf numFmtId="0" fontId="10" fillId="4" borderId="0" xfId="0" applyFont="1" applyFill="1"/>
    <xf numFmtId="0" fontId="10" fillId="0" borderId="0" xfId="0" applyFont="1" applyFill="1" applyAlignment="1">
      <alignment horizontal="center"/>
    </xf>
    <xf numFmtId="10" fontId="10" fillId="0" borderId="0" xfId="1" applyNumberFormat="1" applyFont="1"/>
    <xf numFmtId="0" fontId="0" fillId="17" borderId="68" xfId="7" applyNumberFormat="1" applyFont="1" applyFill="1" applyBorder="1"/>
    <xf numFmtId="0" fontId="4" fillId="13" borderId="68" xfId="0" applyNumberFormat="1" applyFont="1" applyFill="1" applyBorder="1"/>
    <xf numFmtId="0" fontId="4" fillId="10" borderId="68" xfId="0" applyNumberFormat="1" applyFont="1" applyFill="1" applyBorder="1"/>
    <xf numFmtId="0" fontId="4" fillId="18" borderId="0" xfId="0" applyNumberFormat="1" applyFont="1" applyFill="1" applyBorder="1"/>
    <xf numFmtId="170" fontId="4" fillId="18" borderId="0" xfId="7" applyNumberFormat="1" applyFont="1" applyFill="1" applyAlignment="1">
      <alignment horizontal="right"/>
    </xf>
    <xf numFmtId="0" fontId="4" fillId="20" borderId="0" xfId="0" applyNumberFormat="1" applyFont="1" applyFill="1" applyBorder="1"/>
    <xf numFmtId="170" fontId="4" fillId="20" borderId="0" xfId="7" applyNumberFormat="1" applyFont="1" applyFill="1" applyAlignment="1">
      <alignment horizontal="right"/>
    </xf>
    <xf numFmtId="170" fontId="4" fillId="8" borderId="0" xfId="7" applyNumberFormat="1" applyFont="1" applyFill="1" applyAlignment="1">
      <alignment horizontal="right"/>
    </xf>
    <xf numFmtId="0" fontId="4" fillId="11" borderId="68" xfId="0" applyNumberFormat="1" applyFont="1" applyFill="1" applyBorder="1"/>
    <xf numFmtId="170" fontId="4" fillId="11" borderId="0" xfId="7" applyNumberFormat="1" applyFont="1" applyFill="1" applyAlignment="1">
      <alignment horizontal="right"/>
    </xf>
    <xf numFmtId="0" fontId="4" fillId="7" borderId="0" xfId="0" applyNumberFormat="1" applyFont="1" applyFill="1" applyBorder="1"/>
    <xf numFmtId="0" fontId="4" fillId="7" borderId="68" xfId="0" applyNumberFormat="1" applyFont="1" applyFill="1" applyBorder="1"/>
    <xf numFmtId="170" fontId="4" fillId="7" borderId="0" xfId="7" applyNumberFormat="1" applyFont="1" applyFill="1" applyAlignment="1">
      <alignment horizontal="right"/>
    </xf>
    <xf numFmtId="0" fontId="4" fillId="20" borderId="68" xfId="0" applyNumberFormat="1" applyFont="1" applyFill="1" applyBorder="1"/>
    <xf numFmtId="0" fontId="4" fillId="18" borderId="68" xfId="0" applyNumberFormat="1" applyFont="1" applyFill="1" applyBorder="1"/>
    <xf numFmtId="0" fontId="4" fillId="19" borderId="68" xfId="0" applyNumberFormat="1" applyFont="1" applyFill="1" applyBorder="1"/>
    <xf numFmtId="170" fontId="4" fillId="19" borderId="0" xfId="7" applyNumberFormat="1" applyFont="1" applyFill="1" applyAlignment="1">
      <alignment horizontal="right"/>
    </xf>
    <xf numFmtId="0" fontId="4" fillId="9" borderId="0" xfId="0" applyNumberFormat="1" applyFont="1" applyFill="1" applyBorder="1"/>
    <xf numFmtId="0" fontId="4" fillId="9" borderId="68" xfId="0" applyNumberFormat="1" applyFont="1" applyFill="1" applyBorder="1"/>
    <xf numFmtId="170" fontId="4" fillId="9" borderId="0" xfId="7" applyNumberFormat="1" applyFont="1" applyFill="1" applyAlignment="1">
      <alignment horizontal="right"/>
    </xf>
    <xf numFmtId="170" fontId="4" fillId="13" borderId="0" xfId="7" applyNumberFormat="1" applyFont="1" applyFill="1" applyAlignment="1">
      <alignment horizontal="right"/>
    </xf>
    <xf numFmtId="0" fontId="4" fillId="16" borderId="0" xfId="0" applyNumberFormat="1" applyFont="1" applyFill="1" applyBorder="1"/>
    <xf numFmtId="0" fontId="4" fillId="16" borderId="68" xfId="0" applyNumberFormat="1" applyFont="1" applyFill="1" applyBorder="1"/>
    <xf numFmtId="170" fontId="4" fillId="16" borderId="0" xfId="7" applyNumberFormat="1" applyFont="1" applyFill="1" applyAlignment="1">
      <alignment horizontal="right"/>
    </xf>
    <xf numFmtId="0" fontId="4" fillId="12" borderId="0" xfId="0" applyNumberFormat="1" applyFont="1" applyFill="1" applyBorder="1"/>
    <xf numFmtId="0" fontId="4" fillId="12" borderId="68" xfId="0" applyNumberFormat="1" applyFont="1" applyFill="1" applyBorder="1"/>
    <xf numFmtId="170" fontId="4" fillId="12" borderId="0" xfId="7" applyNumberFormat="1" applyFont="1" applyFill="1" applyAlignment="1">
      <alignment horizontal="right"/>
    </xf>
    <xf numFmtId="0" fontId="4" fillId="23" borderId="0" xfId="0" applyNumberFormat="1" applyFont="1" applyFill="1" applyBorder="1"/>
    <xf numFmtId="0" fontId="4" fillId="23" borderId="68" xfId="0" applyNumberFormat="1" applyFont="1" applyFill="1" applyBorder="1"/>
    <xf numFmtId="170" fontId="4" fillId="23" borderId="0" xfId="7" applyNumberFormat="1" applyFont="1" applyFill="1" applyAlignment="1">
      <alignment horizontal="right"/>
    </xf>
    <xf numFmtId="170" fontId="0" fillId="17" borderId="0" xfId="8" applyNumberFormat="1" applyFont="1" applyFill="1"/>
    <xf numFmtId="3" fontId="0" fillId="17" borderId="0" xfId="0" applyNumberFormat="1" applyFont="1" applyFill="1"/>
    <xf numFmtId="0" fontId="4" fillId="5" borderId="0" xfId="0" applyNumberFormat="1" applyFont="1" applyFill="1" applyBorder="1"/>
    <xf numFmtId="0" fontId="4" fillId="5" borderId="68" xfId="0" applyNumberFormat="1" applyFont="1" applyFill="1" applyBorder="1"/>
    <xf numFmtId="170" fontId="4" fillId="5" borderId="0" xfId="7" applyNumberFormat="1" applyFont="1" applyFill="1" applyAlignment="1">
      <alignment horizontal="right"/>
    </xf>
    <xf numFmtId="0" fontId="4" fillId="9" borderId="0" xfId="0" applyNumberFormat="1" applyFont="1" applyFill="1"/>
    <xf numFmtId="3" fontId="9" fillId="0" borderId="0" xfId="4" applyNumberFormat="1" applyAlignment="1">
      <alignment horizontal="right"/>
    </xf>
    <xf numFmtId="0" fontId="4" fillId="8" borderId="68" xfId="0" applyNumberFormat="1" applyFont="1" applyFill="1" applyBorder="1"/>
    <xf numFmtId="0" fontId="4" fillId="11" borderId="0" xfId="0" applyNumberFormat="1" applyFont="1" applyFill="1" applyBorder="1"/>
    <xf numFmtId="0" fontId="4" fillId="22" borderId="0" xfId="0" applyNumberFormat="1" applyFont="1" applyFill="1" applyBorder="1"/>
    <xf numFmtId="0" fontId="4" fillId="22" borderId="68" xfId="0" applyNumberFormat="1" applyFont="1" applyFill="1" applyBorder="1"/>
    <xf numFmtId="170" fontId="4" fillId="22" borderId="0" xfId="7" applyNumberFormat="1" applyFont="1" applyFill="1" applyAlignment="1">
      <alignment horizontal="right"/>
    </xf>
    <xf numFmtId="0" fontId="4" fillId="14" borderId="68" xfId="0" applyNumberFormat="1" applyFont="1" applyFill="1" applyBorder="1"/>
    <xf numFmtId="170" fontId="4" fillId="14" borderId="0" xfId="7" applyNumberFormat="1" applyFont="1" applyFill="1" applyAlignment="1">
      <alignment horizontal="right"/>
    </xf>
    <xf numFmtId="0" fontId="4" fillId="14" borderId="0" xfId="0" applyNumberFormat="1" applyFont="1" applyFill="1" applyBorder="1"/>
    <xf numFmtId="0" fontId="4" fillId="21" borderId="0" xfId="0" applyNumberFormat="1" applyFont="1" applyFill="1" applyBorder="1"/>
    <xf numFmtId="0" fontId="4" fillId="21" borderId="68" xfId="0" applyNumberFormat="1" applyFont="1" applyFill="1" applyBorder="1"/>
    <xf numFmtId="170" fontId="4" fillId="21" borderId="0" xfId="7" applyNumberFormat="1" applyFont="1" applyFill="1" applyAlignment="1">
      <alignment horizontal="right"/>
    </xf>
    <xf numFmtId="0" fontId="4" fillId="8" borderId="0" xfId="0" applyNumberFormat="1" applyFont="1" applyFill="1" applyBorder="1"/>
    <xf numFmtId="0" fontId="4" fillId="15" borderId="0" xfId="0" applyNumberFormat="1" applyFont="1" applyFill="1" applyBorder="1"/>
    <xf numFmtId="0" fontId="4" fillId="15" borderId="68" xfId="0" applyNumberFormat="1" applyFont="1" applyFill="1" applyBorder="1"/>
    <xf numFmtId="170" fontId="4" fillId="15" borderId="0" xfId="7" applyNumberFormat="1" applyFont="1" applyFill="1" applyAlignment="1">
      <alignment horizontal="right"/>
    </xf>
    <xf numFmtId="0" fontId="4" fillId="19" borderId="0" xfId="0" applyNumberFormat="1" applyFont="1" applyFill="1" applyBorder="1"/>
    <xf numFmtId="170" fontId="4" fillId="10" borderId="0" xfId="7" applyNumberFormat="1" applyFont="1" applyFill="1" applyAlignment="1">
      <alignment horizontal="right"/>
    </xf>
    <xf numFmtId="0" fontId="4" fillId="21" borderId="0" xfId="0" applyNumberFormat="1" applyFont="1" applyFill="1"/>
    <xf numFmtId="0" fontId="4" fillId="11" borderId="0" xfId="0" applyNumberFormat="1" applyFont="1" applyFill="1"/>
    <xf numFmtId="0" fontId="4" fillId="19" borderId="0" xfId="0" applyNumberFormat="1" applyFont="1" applyFill="1"/>
    <xf numFmtId="0" fontId="4" fillId="18" borderId="0" xfId="0" applyNumberFormat="1" applyFont="1" applyFill="1"/>
    <xf numFmtId="170" fontId="4" fillId="0" borderId="0" xfId="8" applyNumberFormat="1" applyFont="1"/>
    <xf numFmtId="3" fontId="4" fillId="0" borderId="0" xfId="0" applyNumberFormat="1" applyFont="1" applyFill="1"/>
    <xf numFmtId="0" fontId="4" fillId="12" borderId="15" xfId="0" applyNumberFormat="1" applyFont="1" applyFill="1" applyBorder="1"/>
    <xf numFmtId="0" fontId="4" fillId="12" borderId="0" xfId="0" applyNumberFormat="1" applyFont="1" applyFill="1"/>
    <xf numFmtId="0" fontId="4" fillId="17" borderId="0" xfId="0" applyNumberFormat="1" applyFont="1" applyFill="1"/>
    <xf numFmtId="0" fontId="4" fillId="17" borderId="68" xfId="0" applyNumberFormat="1" applyFont="1" applyFill="1" applyBorder="1"/>
    <xf numFmtId="170" fontId="4" fillId="17" borderId="0" xfId="7" applyNumberFormat="1" applyFont="1" applyFill="1" applyAlignment="1">
      <alignment horizontal="right"/>
    </xf>
    <xf numFmtId="0" fontId="4" fillId="10" borderId="0" xfId="0" applyNumberFormat="1" applyFont="1" applyFill="1"/>
    <xf numFmtId="0" fontId="4" fillId="13" borderId="66" xfId="0" applyNumberFormat="1" applyFont="1" applyFill="1" applyBorder="1"/>
    <xf numFmtId="3" fontId="9" fillId="0" borderId="0" xfId="4" applyNumberFormat="1" applyBorder="1" applyAlignment="1">
      <alignment horizontal="right"/>
    </xf>
    <xf numFmtId="170" fontId="25" fillId="18" borderId="0" xfId="7" applyNumberFormat="1" applyFont="1" applyFill="1" applyAlignment="1">
      <alignment horizontal="right"/>
    </xf>
    <xf numFmtId="0" fontId="4" fillId="17" borderId="0" xfId="0" applyNumberFormat="1" applyFont="1" applyFill="1" applyBorder="1"/>
    <xf numFmtId="170" fontId="4" fillId="17" borderId="0" xfId="7" applyNumberFormat="1" applyFont="1" applyFill="1"/>
    <xf numFmtId="0" fontId="4" fillId="5" borderId="0" xfId="0" applyNumberFormat="1" applyFont="1" applyFill="1"/>
    <xf numFmtId="0" fontId="4" fillId="16" borderId="0" xfId="0" applyNumberFormat="1" applyFont="1" applyFill="1"/>
    <xf numFmtId="0" fontId="0" fillId="22" borderId="71" xfId="0" applyNumberFormat="1" applyFont="1" applyFill="1" applyBorder="1"/>
    <xf numFmtId="0" fontId="0" fillId="9" borderId="71" xfId="0" applyNumberFormat="1" applyFont="1" applyFill="1" applyBorder="1"/>
    <xf numFmtId="0" fontId="0" fillId="3" borderId="11" xfId="7" applyNumberFormat="1" applyFont="1" applyFill="1" applyBorder="1" applyAlignment="1">
      <alignment horizontal="right"/>
    </xf>
    <xf numFmtId="170" fontId="0" fillId="0" borderId="0" xfId="7" applyNumberFormat="1" applyFont="1" applyFill="1" applyAlignment="1">
      <alignment horizontal="right"/>
    </xf>
    <xf numFmtId="0" fontId="4" fillId="15" borderId="15" xfId="0" applyNumberFormat="1" applyFont="1" applyFill="1" applyBorder="1"/>
    <xf numFmtId="0" fontId="4" fillId="23" borderId="15" xfId="0" applyNumberFormat="1" applyFont="1" applyFill="1" applyBorder="1"/>
    <xf numFmtId="0" fontId="4" fillId="23" borderId="67" xfId="0" applyNumberFormat="1" applyFont="1" applyFill="1" applyBorder="1"/>
    <xf numFmtId="0" fontId="0" fillId="23" borderId="15" xfId="0" applyNumberFormat="1" applyFont="1" applyFill="1" applyBorder="1"/>
    <xf numFmtId="0" fontId="0" fillId="9" borderId="15" xfId="0" applyNumberFormat="1" applyFont="1" applyFill="1" applyBorder="1"/>
    <xf numFmtId="0" fontId="4" fillId="13" borderId="70" xfId="0" applyNumberFormat="1" applyFont="1" applyFill="1" applyBorder="1"/>
    <xf numFmtId="170" fontId="4" fillId="7" borderId="0" xfId="7" applyNumberFormat="1" applyFont="1" applyFill="1"/>
    <xf numFmtId="0" fontId="4" fillId="13" borderId="0" xfId="0" applyNumberFormat="1" applyFont="1" applyFill="1"/>
    <xf numFmtId="3" fontId="0" fillId="0" borderId="0" xfId="7" applyNumberFormat="1" applyFont="1" applyFill="1" applyAlignment="1">
      <alignment horizontal="right"/>
    </xf>
    <xf numFmtId="0" fontId="11" fillId="0" borderId="38" xfId="0" applyFont="1" applyFill="1" applyBorder="1"/>
    <xf numFmtId="0" fontId="11" fillId="0" borderId="21" xfId="0" applyFont="1" applyFill="1" applyBorder="1"/>
    <xf numFmtId="0" fontId="4" fillId="0" borderId="47" xfId="0" applyFont="1" applyFill="1" applyBorder="1"/>
    <xf numFmtId="0" fontId="0" fillId="15" borderId="71" xfId="0" applyNumberFormat="1" applyFont="1" applyFill="1" applyBorder="1"/>
    <xf numFmtId="0" fontId="4" fillId="13" borderId="71" xfId="0" applyNumberFormat="1" applyFont="1" applyFill="1" applyBorder="1"/>
    <xf numFmtId="0" fontId="4" fillId="22" borderId="0" xfId="0" applyNumberFormat="1" applyFont="1" applyFill="1"/>
    <xf numFmtId="0" fontId="4" fillId="22" borderId="71" xfId="0" applyNumberFormat="1" applyFont="1" applyFill="1" applyBorder="1"/>
    <xf numFmtId="0" fontId="4" fillId="8" borderId="71" xfId="0" applyNumberFormat="1" applyFont="1" applyFill="1" applyBorder="1"/>
    <xf numFmtId="0" fontId="4" fillId="11" borderId="72" xfId="0" applyNumberFormat="1" applyFont="1" applyFill="1" applyBorder="1"/>
    <xf numFmtId="0" fontId="4" fillId="12" borderId="71" xfId="0" applyNumberFormat="1" applyFont="1" applyFill="1" applyBorder="1"/>
    <xf numFmtId="0" fontId="0" fillId="10" borderId="71" xfId="0" applyNumberFormat="1" applyFont="1" applyFill="1" applyBorder="1"/>
    <xf numFmtId="0" fontId="4" fillId="15" borderId="67" xfId="0" applyNumberFormat="1" applyFont="1" applyFill="1" applyBorder="1"/>
    <xf numFmtId="0" fontId="4" fillId="15" borderId="71" xfId="0" applyNumberFormat="1" applyFont="1" applyFill="1" applyBorder="1"/>
    <xf numFmtId="0" fontId="0" fillId="21" borderId="71" xfId="0" applyNumberFormat="1" applyFont="1" applyFill="1" applyBorder="1"/>
    <xf numFmtId="0" fontId="0" fillId="5" borderId="71" xfId="0" applyNumberFormat="1" applyFont="1" applyFill="1" applyBorder="1"/>
    <xf numFmtId="0" fontId="4" fillId="18" borderId="18" xfId="0" applyNumberFormat="1" applyFont="1" applyFill="1" applyBorder="1"/>
    <xf numFmtId="0" fontId="4" fillId="14" borderId="71" xfId="0" applyNumberFormat="1" applyFont="1" applyFill="1" applyBorder="1"/>
    <xf numFmtId="170" fontId="0" fillId="5" borderId="0" xfId="8" applyNumberFormat="1" applyFont="1" applyFill="1"/>
    <xf numFmtId="3" fontId="0" fillId="5" borderId="0" xfId="0" applyNumberFormat="1" applyFont="1" applyFill="1"/>
    <xf numFmtId="0" fontId="0" fillId="24" borderId="0" xfId="0" applyNumberFormat="1" applyFont="1" applyFill="1" applyBorder="1"/>
    <xf numFmtId="0" fontId="0" fillId="24" borderId="0" xfId="0" applyFont="1" applyFill="1" applyBorder="1"/>
    <xf numFmtId="0" fontId="4" fillId="12" borderId="67" xfId="0" applyNumberFormat="1" applyFont="1" applyFill="1" applyBorder="1"/>
    <xf numFmtId="0" fontId="0" fillId="11" borderId="15" xfId="0" applyNumberFormat="1" applyFont="1" applyFill="1" applyBorder="1"/>
    <xf numFmtId="0" fontId="0" fillId="7" borderId="65" xfId="0" applyNumberFormat="1" applyFont="1" applyFill="1" applyBorder="1"/>
    <xf numFmtId="0" fontId="0" fillId="19" borderId="13" xfId="0" applyNumberFormat="1" applyFont="1" applyFill="1" applyBorder="1"/>
    <xf numFmtId="0" fontId="0" fillId="17" borderId="65" xfId="0" applyNumberFormat="1" applyFont="1" applyFill="1" applyBorder="1"/>
    <xf numFmtId="0" fontId="0" fillId="21" borderId="12" xfId="0" applyNumberFormat="1" applyFont="1" applyFill="1" applyBorder="1"/>
    <xf numFmtId="0" fontId="4" fillId="20" borderId="67" xfId="0" applyNumberFormat="1" applyFont="1" applyFill="1" applyBorder="1"/>
    <xf numFmtId="0" fontId="4" fillId="16" borderId="15" xfId="0" applyNumberFormat="1" applyFont="1" applyFill="1" applyBorder="1"/>
    <xf numFmtId="0" fontId="0" fillId="10" borderId="15" xfId="0" applyNumberFormat="1" applyFont="1" applyFill="1" applyBorder="1"/>
    <xf numFmtId="0" fontId="0" fillId="17" borderId="15" xfId="0" applyNumberFormat="1" applyFont="1" applyFill="1" applyBorder="1"/>
    <xf numFmtId="0" fontId="4" fillId="17" borderId="64" xfId="0" applyNumberFormat="1" applyFont="1" applyFill="1" applyBorder="1"/>
    <xf numFmtId="0" fontId="4" fillId="11" borderId="15" xfId="0" applyNumberFormat="1" applyFont="1" applyFill="1" applyBorder="1"/>
    <xf numFmtId="0" fontId="0" fillId="12" borderId="12" xfId="0" applyNumberFormat="1" applyFont="1" applyFill="1" applyBorder="1"/>
    <xf numFmtId="0" fontId="0" fillId="24" borderId="71" xfId="0" applyFont="1" applyFill="1" applyBorder="1"/>
    <xf numFmtId="0" fontId="4" fillId="7" borderId="38" xfId="0" applyNumberFormat="1" applyFont="1" applyFill="1" applyBorder="1"/>
    <xf numFmtId="0" fontId="4" fillId="11" borderId="71" xfId="0" applyNumberFormat="1" applyFont="1" applyFill="1" applyBorder="1"/>
    <xf numFmtId="0" fontId="4" fillId="16" borderId="71" xfId="0" applyNumberFormat="1" applyFont="1" applyFill="1" applyBorder="1"/>
    <xf numFmtId="0" fontId="4" fillId="9" borderId="71" xfId="0" applyNumberFormat="1" applyFont="1" applyFill="1" applyBorder="1"/>
    <xf numFmtId="0" fontId="0" fillId="18" borderId="74" xfId="0" applyNumberFormat="1" applyFont="1" applyFill="1" applyBorder="1"/>
    <xf numFmtId="0" fontId="4" fillId="20" borderId="74" xfId="0" applyNumberFormat="1" applyFont="1" applyFill="1" applyBorder="1"/>
    <xf numFmtId="0" fontId="4" fillId="23" borderId="12" xfId="0" applyNumberFormat="1" applyFont="1" applyFill="1" applyBorder="1"/>
    <xf numFmtId="0" fontId="4" fillId="23" borderId="18" xfId="0" applyNumberFormat="1" applyFont="1" applyFill="1" applyBorder="1"/>
    <xf numFmtId="0" fontId="4" fillId="21" borderId="4" xfId="0" applyNumberFormat="1" applyFont="1" applyFill="1" applyBorder="1"/>
    <xf numFmtId="0" fontId="4" fillId="21" borderId="73" xfId="0" applyNumberFormat="1" applyFont="1" applyFill="1" applyBorder="1"/>
    <xf numFmtId="170" fontId="4" fillId="21" borderId="4" xfId="7" applyNumberFormat="1" applyFont="1" applyFill="1" applyBorder="1" applyAlignment="1">
      <alignment horizontal="right"/>
    </xf>
    <xf numFmtId="0" fontId="4" fillId="14" borderId="67" xfId="0" applyNumberFormat="1" applyFont="1" applyFill="1" applyBorder="1"/>
    <xf numFmtId="170" fontId="4" fillId="12" borderId="0" xfId="8" applyNumberFormat="1" applyFont="1" applyFill="1"/>
    <xf numFmtId="3" fontId="4" fillId="12" borderId="0" xfId="0" applyNumberFormat="1" applyFont="1" applyFill="1"/>
    <xf numFmtId="0" fontId="11" fillId="12" borderId="15" xfId="0" applyNumberFormat="1" applyFont="1" applyFill="1" applyBorder="1"/>
    <xf numFmtId="0" fontId="11" fillId="12" borderId="68" xfId="0" applyNumberFormat="1" applyFont="1" applyFill="1" applyBorder="1"/>
    <xf numFmtId="170" fontId="11" fillId="12" borderId="0" xfId="7" applyNumberFormat="1" applyFont="1" applyFill="1" applyAlignment="1">
      <alignment horizontal="right"/>
    </xf>
    <xf numFmtId="170" fontId="11" fillId="12" borderId="0" xfId="8" applyNumberFormat="1" applyFont="1" applyFill="1"/>
    <xf numFmtId="3" fontId="11" fillId="12" borderId="0" xfId="0" applyNumberFormat="1" applyFont="1" applyFill="1"/>
    <xf numFmtId="170" fontId="22" fillId="4" borderId="0" xfId="7" applyNumberFormat="1" applyFont="1" applyFill="1"/>
    <xf numFmtId="0" fontId="22" fillId="4" borderId="0" xfId="0" applyFont="1" applyFill="1"/>
    <xf numFmtId="170" fontId="26" fillId="4" borderId="0" xfId="7" applyNumberFormat="1" applyFont="1" applyFill="1" applyBorder="1"/>
    <xf numFmtId="0" fontId="4" fillId="20" borderId="0" xfId="0" applyNumberFormat="1" applyFont="1" applyFill="1"/>
    <xf numFmtId="170" fontId="3" fillId="21" borderId="0" xfId="7" applyNumberFormat="1" applyFont="1" applyFill="1" applyAlignment="1">
      <alignment horizontal="right"/>
    </xf>
    <xf numFmtId="0" fontId="4" fillId="9" borderId="75" xfId="0" applyNumberFormat="1" applyFont="1" applyFill="1" applyBorder="1"/>
    <xf numFmtId="3" fontId="4" fillId="9" borderId="0" xfId="7" applyNumberFormat="1" applyFont="1" applyFill="1" applyAlignment="1">
      <alignment horizontal="right"/>
    </xf>
    <xf numFmtId="0" fontId="4" fillId="15" borderId="0" xfId="0" applyNumberFormat="1" applyFont="1" applyFill="1"/>
    <xf numFmtId="0" fontId="4" fillId="0" borderId="76" xfId="0" applyFont="1" applyBorder="1"/>
    <xf numFmtId="170" fontId="3" fillId="23" borderId="0" xfId="7" applyNumberFormat="1" applyFont="1" applyFill="1" applyAlignment="1">
      <alignment horizontal="right"/>
    </xf>
    <xf numFmtId="0" fontId="4" fillId="5" borderId="68" xfId="7" applyNumberFormat="1" applyFont="1" applyFill="1" applyBorder="1"/>
    <xf numFmtId="170" fontId="4" fillId="5" borderId="0" xfId="8" applyNumberFormat="1" applyFont="1" applyFill="1"/>
    <xf numFmtId="3" fontId="4" fillId="5" borderId="0" xfId="0" applyNumberFormat="1" applyFont="1" applyFill="1"/>
    <xf numFmtId="166" fontId="11" fillId="0" borderId="21" xfId="0" applyNumberFormat="1" applyFont="1" applyFill="1" applyBorder="1"/>
    <xf numFmtId="10" fontId="11" fillId="0" borderId="39" xfId="1" applyNumberFormat="1" applyFont="1" applyFill="1" applyBorder="1" applyAlignment="1">
      <alignment vertical="center"/>
    </xf>
    <xf numFmtId="10" fontId="4" fillId="0" borderId="69" xfId="1" applyNumberFormat="1" applyFont="1" applyFill="1" applyBorder="1"/>
    <xf numFmtId="0" fontId="0" fillId="0" borderId="52" xfId="0" applyFont="1" applyFill="1" applyBorder="1"/>
    <xf numFmtId="0" fontId="0" fillId="0" borderId="6" xfId="0" applyFont="1" applyFill="1" applyBorder="1"/>
    <xf numFmtId="166" fontId="0" fillId="0" borderId="17" xfId="0" applyNumberFormat="1" applyFont="1" applyFill="1" applyBorder="1"/>
    <xf numFmtId="166" fontId="0" fillId="0" borderId="0" xfId="0" applyNumberFormat="1" applyFont="1" applyFill="1"/>
    <xf numFmtId="0" fontId="10" fillId="0" borderId="15" xfId="0" applyFont="1" applyFill="1" applyBorder="1"/>
    <xf numFmtId="10" fontId="10" fillId="0" borderId="33" xfId="1" applyNumberFormat="1" applyFont="1" applyFill="1" applyBorder="1"/>
    <xf numFmtId="0" fontId="0" fillId="0" borderId="12" xfId="0" applyFont="1" applyFill="1" applyBorder="1"/>
    <xf numFmtId="0" fontId="0" fillId="0" borderId="18" xfId="0" applyFont="1" applyFill="1" applyBorder="1" applyAlignment="1">
      <alignment vertical="center" wrapText="1"/>
    </xf>
    <xf numFmtId="166" fontId="0" fillId="0" borderId="18" xfId="0" applyNumberFormat="1" applyFont="1" applyFill="1" applyBorder="1" applyAlignment="1">
      <alignment vertical="center"/>
    </xf>
    <xf numFmtId="0" fontId="10" fillId="0" borderId="36" xfId="0" applyFont="1" applyFill="1" applyBorder="1"/>
    <xf numFmtId="166" fontId="10" fillId="0" borderId="15" xfId="0" applyNumberFormat="1" applyFont="1" applyFill="1" applyBorder="1"/>
    <xf numFmtId="0" fontId="10" fillId="0" borderId="52" xfId="0" applyFont="1" applyFill="1" applyBorder="1"/>
    <xf numFmtId="0" fontId="10" fillId="0" borderId="17" xfId="0" applyFont="1" applyFill="1" applyBorder="1"/>
    <xf numFmtId="166" fontId="10" fillId="0" borderId="17" xfId="0" applyNumberFormat="1" applyFont="1" applyFill="1" applyBorder="1"/>
    <xf numFmtId="10" fontId="10" fillId="0" borderId="43" xfId="1" applyNumberFormat="1" applyFont="1" applyFill="1" applyBorder="1"/>
    <xf numFmtId="0" fontId="0" fillId="0" borderId="61" xfId="0" applyFont="1" applyFill="1" applyBorder="1"/>
    <xf numFmtId="10" fontId="3" fillId="0" borderId="31" xfId="1" applyNumberFormat="1" applyFont="1" applyFill="1" applyBorder="1"/>
    <xf numFmtId="166" fontId="10" fillId="0" borderId="18" xfId="0" applyNumberFormat="1" applyFont="1" applyFill="1" applyBorder="1"/>
    <xf numFmtId="0" fontId="0" fillId="0" borderId="77" xfId="0" applyBorder="1"/>
    <xf numFmtId="0" fontId="0" fillId="0" borderId="78" xfId="0" applyBorder="1"/>
    <xf numFmtId="0" fontId="0" fillId="0" borderId="79" xfId="0" applyFont="1" applyFill="1" applyBorder="1"/>
    <xf numFmtId="166" fontId="0" fillId="0" borderId="79" xfId="0" applyNumberFormat="1" applyFont="1" applyFill="1" applyBorder="1"/>
    <xf numFmtId="0" fontId="0" fillId="0" borderId="18" xfId="0" applyBorder="1"/>
    <xf numFmtId="0" fontId="0" fillId="0" borderId="52" xfId="0" applyBorder="1"/>
    <xf numFmtId="0" fontId="0" fillId="0" borderId="70" xfId="0" applyBorder="1"/>
    <xf numFmtId="166" fontId="0" fillId="0" borderId="70" xfId="0" applyNumberFormat="1" applyBorder="1"/>
    <xf numFmtId="10" fontId="3" fillId="0" borderId="43" xfId="1" applyNumberFormat="1" applyFont="1" applyFill="1" applyBorder="1"/>
    <xf numFmtId="166" fontId="0" fillId="0" borderId="18" xfId="0" applyNumberFormat="1" applyBorder="1"/>
    <xf numFmtId="166" fontId="0" fillId="0" borderId="0" xfId="0" applyNumberFormat="1"/>
    <xf numFmtId="166" fontId="0" fillId="0" borderId="0" xfId="0" applyNumberFormat="1" applyFont="1" applyFill="1" applyBorder="1"/>
    <xf numFmtId="166" fontId="0" fillId="0" borderId="70" xfId="0" applyNumberFormat="1" applyFill="1" applyBorder="1"/>
    <xf numFmtId="166" fontId="0" fillId="0" borderId="6" xfId="0" applyNumberFormat="1" applyFont="1" applyFill="1" applyBorder="1"/>
    <xf numFmtId="166" fontId="0" fillId="0" borderId="78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</cellXfs>
  <cellStyles count="10">
    <cellStyle name="Comma" xfId="7" builtinId="3"/>
    <cellStyle name="Comma 2" xfId="8" xr:uid="{00000000-0005-0000-0000-000001000000}"/>
    <cellStyle name="Hyperlink" xfId="2" builtinId="8"/>
    <cellStyle name="Normal" xfId="0" builtinId="0"/>
    <cellStyle name="Normal 2" xfId="4" xr:uid="{00000000-0005-0000-0000-000004000000}"/>
    <cellStyle name="Normal 3" xfId="6" xr:uid="{00000000-0005-0000-0000-000005000000}"/>
    <cellStyle name="Normal 4" xfId="9" xr:uid="{00000000-0005-0000-0000-000006000000}"/>
    <cellStyle name="Normal_MOnthly totals" xfId="3" xr:uid="{00000000-0005-0000-0000-000007000000}"/>
    <cellStyle name="Normal_Sheet1" xfId="5" xr:uid="{00000000-0005-0000-0000-000008000000}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70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fill>
        <patternFill>
          <fgColor indexed="64"/>
          <bgColor theme="3"/>
        </patternFill>
      </fill>
    </dxf>
  </dxfs>
  <tableStyles count="0" defaultTableStyle="TableStyleMedium2" defaultPivotStyle="PivotStyleLight16"/>
  <colors>
    <mruColors>
      <color rgb="FFFF3300"/>
      <color rgb="FFCCFFFF"/>
      <color rgb="FF009900"/>
      <color rgb="FFCC66FF"/>
      <color rgb="FF0066CC"/>
      <color rgb="FF99FF99"/>
      <color rgb="FFFF6600"/>
      <color rgb="FFFF99FF"/>
      <color rgb="FF00FF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April%202019%20Centenary%20Share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December%202019%20Centenary%20Share%20%20Report%20Final%201603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July%202019%20Centenary%20Share%20Report%20inc%20Waive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Share%202020%20Benefice%20allcoation%20to%20Parish%20level%20FINAL%20May%202020%20for%20statement%20buil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hare%20%20Report-Funds%20Received%20as%20at%2031st%20July%20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hare%20%20Report-Funds%20Received%20as%20at%2030th%20June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May%202019%20Centenary%20Share%20Report%20inc%20Waiver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June%202019%20Centenary%20Share%20Report%20inc%20Waiv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>
        <row r="2">
          <cell r="M2">
            <v>0.33329999999999999</v>
          </cell>
        </row>
        <row r="3">
          <cell r="C3">
            <v>43585</v>
          </cell>
          <cell r="M3">
            <v>0.25</v>
          </cell>
        </row>
        <row r="4">
          <cell r="M4">
            <v>0.16669999999999999</v>
          </cell>
        </row>
        <row r="5">
          <cell r="M5">
            <v>8.3299999999999999E-2</v>
          </cell>
        </row>
      </sheetData>
      <sheetData sheetId="1">
        <row r="2">
          <cell r="A2" t="str">
            <v xml:space="preserve">B078 </v>
          </cell>
          <cell r="B2" t="str">
            <v>B078 - Benefice of Lark Valley with North Bury Team</v>
          </cell>
          <cell r="C2">
            <v>8274</v>
          </cell>
        </row>
        <row r="3">
          <cell r="A3" t="str">
            <v xml:space="preserve">B111 </v>
          </cell>
          <cell r="B3" t="str">
            <v>B111 - Benefice of The Shoreline Benefice</v>
          </cell>
          <cell r="C3">
            <v>1760</v>
          </cell>
        </row>
        <row r="4">
          <cell r="A4" t="str">
            <v xml:space="preserve">B115 </v>
          </cell>
          <cell r="B4" t="str">
            <v>B115 - Benefice of Westerfield &amp; Tuddenham St Martin with Witnesham</v>
          </cell>
          <cell r="C4">
            <v>9000</v>
          </cell>
        </row>
        <row r="5">
          <cell r="A5" t="str">
            <v xml:space="preserve">C330075 </v>
          </cell>
          <cell r="B5" t="str">
            <v>C330075 - Church of All Saints,Ipswich St Matthew</v>
          </cell>
          <cell r="C5">
            <v>2800</v>
          </cell>
        </row>
        <row r="6">
          <cell r="A6" t="str">
            <v xml:space="preserve">C330129 </v>
          </cell>
          <cell r="B6" t="str">
            <v>C330129 - Church of The Chapel of St Nicholas, Gipping</v>
          </cell>
          <cell r="C6">
            <v>1312</v>
          </cell>
        </row>
        <row r="7">
          <cell r="A7" t="str">
            <v xml:space="preserve">C330493 </v>
          </cell>
          <cell r="B7" t="str">
            <v>C330493 - Church of Triangle,Ipswich St Matthew</v>
          </cell>
          <cell r="C7">
            <v>2000</v>
          </cell>
        </row>
        <row r="8">
          <cell r="A8" t="str">
            <v xml:space="preserve">P330003 </v>
          </cell>
          <cell r="B8" t="str">
            <v>P330003 - Parish of Ashbocking</v>
          </cell>
          <cell r="C8">
            <v>953</v>
          </cell>
        </row>
        <row r="9">
          <cell r="A9" t="str">
            <v xml:space="preserve">P330005 </v>
          </cell>
          <cell r="B9" t="str">
            <v>P330005 - Parish of Claydon &amp; Barham</v>
          </cell>
          <cell r="C9">
            <v>10665</v>
          </cell>
        </row>
        <row r="10">
          <cell r="A10" t="str">
            <v xml:space="preserve">P330006 </v>
          </cell>
          <cell r="B10" t="str">
            <v>P330006 - Parish of Barking with Darmsden</v>
          </cell>
          <cell r="C10">
            <v>2000</v>
          </cell>
        </row>
        <row r="11">
          <cell r="A11" t="str">
            <v xml:space="preserve">P330007 </v>
          </cell>
          <cell r="B11" t="str">
            <v>P330007 - Parish of Battisford</v>
          </cell>
          <cell r="C11">
            <v>500</v>
          </cell>
        </row>
        <row r="12">
          <cell r="A12" t="str">
            <v xml:space="preserve">P330008 </v>
          </cell>
          <cell r="B12" t="str">
            <v>P330008 - Parish of Baylham</v>
          </cell>
          <cell r="C12">
            <v>1300</v>
          </cell>
        </row>
        <row r="13">
          <cell r="A13" t="str">
            <v xml:space="preserve">P330009 </v>
          </cell>
          <cell r="B13" t="str">
            <v>P330009 - Parish of Coddenham</v>
          </cell>
          <cell r="C13">
            <v>4033</v>
          </cell>
        </row>
        <row r="14">
          <cell r="A14" t="str">
            <v xml:space="preserve">P330010 </v>
          </cell>
          <cell r="B14" t="str">
            <v>P330010 - Parish of Creeting St Mary</v>
          </cell>
          <cell r="C14">
            <v>1485</v>
          </cell>
        </row>
        <row r="15">
          <cell r="A15" t="str">
            <v xml:space="preserve">P330011 </v>
          </cell>
          <cell r="B15" t="str">
            <v>P330011 - Parish of Creeting St Peter</v>
          </cell>
          <cell r="C15">
            <v>1000</v>
          </cell>
        </row>
        <row r="16">
          <cell r="A16" t="str">
            <v xml:space="preserve">P330012 </v>
          </cell>
          <cell r="B16" t="str">
            <v>P330012 - Parish of Crowfield</v>
          </cell>
          <cell r="C16">
            <v>1288</v>
          </cell>
        </row>
        <row r="17">
          <cell r="A17" t="str">
            <v xml:space="preserve">P330013 </v>
          </cell>
          <cell r="B17" t="str">
            <v>P330013 - Parish of Earl Stonham with Stonham Parva</v>
          </cell>
          <cell r="C17">
            <v>7202</v>
          </cell>
        </row>
        <row r="18">
          <cell r="A18" t="str">
            <v xml:space="preserve">P330015 </v>
          </cell>
          <cell r="B18" t="str">
            <v>P330015 - Parish of Gosbeck</v>
          </cell>
          <cell r="C18">
            <v>3000</v>
          </cell>
        </row>
        <row r="19">
          <cell r="A19" t="str">
            <v xml:space="preserve">P330016 </v>
          </cell>
          <cell r="B19" t="str">
            <v>P330016 - Parish of Great Blakenham</v>
          </cell>
          <cell r="C19">
            <v>3000</v>
          </cell>
        </row>
        <row r="20">
          <cell r="A20" t="str">
            <v xml:space="preserve">P330017 </v>
          </cell>
          <cell r="B20" t="str">
            <v>P330017 - Parish of Great Bricett</v>
          </cell>
          <cell r="C20">
            <v>840</v>
          </cell>
        </row>
        <row r="21">
          <cell r="A21" t="str">
            <v xml:space="preserve">P330018 </v>
          </cell>
          <cell r="B21" t="str">
            <v>P330018 - Parish of Hemingstone</v>
          </cell>
          <cell r="C21">
            <v>2279</v>
          </cell>
        </row>
        <row r="22">
          <cell r="A22" t="str">
            <v xml:space="preserve">P330019 </v>
          </cell>
          <cell r="B22" t="str">
            <v>P330019 - Parish of Henley</v>
          </cell>
          <cell r="C22">
            <v>6379</v>
          </cell>
        </row>
        <row r="23">
          <cell r="A23" t="str">
            <v xml:space="preserve">P330021 </v>
          </cell>
          <cell r="B23" t="str">
            <v>P330021 - Parish of Needham Market with Badley</v>
          </cell>
          <cell r="C23">
            <v>16000</v>
          </cell>
        </row>
        <row r="24">
          <cell r="A24" t="str">
            <v xml:space="preserve">P330022 </v>
          </cell>
          <cell r="B24" t="str">
            <v>P330022 - Parish of Nettlestead</v>
          </cell>
          <cell r="C24">
            <v>2000</v>
          </cell>
        </row>
        <row r="25">
          <cell r="A25" t="str">
            <v xml:space="preserve">P330024 </v>
          </cell>
          <cell r="B25" t="str">
            <v>P330024 - Parish of Ringshall</v>
          </cell>
          <cell r="C25">
            <v>400</v>
          </cell>
        </row>
        <row r="26">
          <cell r="A26" t="str">
            <v xml:space="preserve">P330025 </v>
          </cell>
          <cell r="B26" t="str">
            <v>P330025 - Parish of Somersham</v>
          </cell>
          <cell r="C26">
            <v>2000</v>
          </cell>
        </row>
        <row r="27">
          <cell r="A27" t="str">
            <v xml:space="preserve">P330026 </v>
          </cell>
          <cell r="B27" t="str">
            <v>P330026 - Parish of Stonham Aspal and Mickfield</v>
          </cell>
          <cell r="C27">
            <v>2279</v>
          </cell>
        </row>
        <row r="28">
          <cell r="A28" t="str">
            <v xml:space="preserve">P330028 </v>
          </cell>
          <cell r="B28" t="str">
            <v>P330028 - Parish of Swilland</v>
          </cell>
          <cell r="C28">
            <v>952</v>
          </cell>
        </row>
        <row r="29">
          <cell r="A29" t="str">
            <v xml:space="preserve">P330029 </v>
          </cell>
          <cell r="B29" t="str">
            <v>P330029 - Parish of Willisham</v>
          </cell>
          <cell r="C29">
            <v>1200</v>
          </cell>
        </row>
        <row r="30">
          <cell r="A30" t="str">
            <v xml:space="preserve">P330031 </v>
          </cell>
          <cell r="B30" t="str">
            <v>P330031 - Parish of Brightwell</v>
          </cell>
          <cell r="C30">
            <v>4000</v>
          </cell>
        </row>
        <row r="31">
          <cell r="A31" t="str">
            <v xml:space="preserve">P330032 </v>
          </cell>
          <cell r="B31" t="str">
            <v>P330032 - Parish of Bucklesham &amp; Foxhall</v>
          </cell>
          <cell r="C31">
            <v>3470</v>
          </cell>
        </row>
        <row r="32">
          <cell r="A32" t="str">
            <v xml:space="preserve">P330033 </v>
          </cell>
          <cell r="B32" t="str">
            <v>P330033 - Parish of Falkenham</v>
          </cell>
          <cell r="C32">
            <v>2132</v>
          </cell>
        </row>
        <row r="33">
          <cell r="A33" t="str">
            <v xml:space="preserve">P330034 </v>
          </cell>
          <cell r="B33" t="str">
            <v>P330034 - Parish of Felixstowe St John</v>
          </cell>
          <cell r="C33">
            <v>15810</v>
          </cell>
        </row>
        <row r="34">
          <cell r="A34" t="str">
            <v xml:space="preserve">P330036 </v>
          </cell>
          <cell r="B34" t="str">
            <v>P330036 - Parish of Felixstowe St Peter St Paul</v>
          </cell>
          <cell r="C34">
            <v>24210</v>
          </cell>
        </row>
        <row r="35">
          <cell r="A35" t="str">
            <v xml:space="preserve">P330038 </v>
          </cell>
          <cell r="B35" t="str">
            <v>P330038 - Parish of Hemley</v>
          </cell>
          <cell r="C35">
            <v>800</v>
          </cell>
        </row>
        <row r="36">
          <cell r="A36" t="str">
            <v xml:space="preserve">P330039 </v>
          </cell>
          <cell r="B36" t="str">
            <v>P330039 - Parish of Kirton</v>
          </cell>
          <cell r="C36">
            <v>5442</v>
          </cell>
        </row>
        <row r="37">
          <cell r="A37" t="str">
            <v xml:space="preserve">P330040 </v>
          </cell>
          <cell r="B37" t="str">
            <v>P330040 - Parish of Levington</v>
          </cell>
          <cell r="C37">
            <v>1858</v>
          </cell>
        </row>
        <row r="38">
          <cell r="A38" t="str">
            <v xml:space="preserve">P330041 </v>
          </cell>
          <cell r="B38" t="str">
            <v>P330041 - Parish of Martlesham</v>
          </cell>
          <cell r="C38">
            <v>19535</v>
          </cell>
        </row>
        <row r="39">
          <cell r="A39" t="str">
            <v xml:space="preserve">P330042 </v>
          </cell>
          <cell r="B39" t="str">
            <v>P330042 - Parish of Nacton</v>
          </cell>
          <cell r="C39">
            <v>4528</v>
          </cell>
        </row>
        <row r="40">
          <cell r="A40" t="str">
            <v xml:space="preserve">P330043 </v>
          </cell>
          <cell r="B40" t="str">
            <v>P330043 - Parish of Newbourne</v>
          </cell>
          <cell r="C40">
            <v>1200</v>
          </cell>
        </row>
        <row r="41">
          <cell r="A41" t="str">
            <v xml:space="preserve">P330044 </v>
          </cell>
          <cell r="B41" t="str">
            <v>P330044 - Parish of Trimley</v>
          </cell>
          <cell r="C41">
            <v>8162</v>
          </cell>
        </row>
        <row r="42">
          <cell r="A42" t="str">
            <v xml:space="preserve">P330046 </v>
          </cell>
          <cell r="B42" t="str">
            <v>P330046 - Parish of Waldringfield</v>
          </cell>
          <cell r="C42">
            <v>2776</v>
          </cell>
        </row>
        <row r="43">
          <cell r="A43" t="str">
            <v xml:space="preserve">P330047 </v>
          </cell>
          <cell r="B43" t="str">
            <v>P330047 - Parish of Walton</v>
          </cell>
          <cell r="C43">
            <v>15368</v>
          </cell>
        </row>
        <row r="44">
          <cell r="A44" t="str">
            <v xml:space="preserve">P330049 </v>
          </cell>
          <cell r="B44" t="str">
            <v>P330049 - Parish of Aldham</v>
          </cell>
          <cell r="C44">
            <v>3500</v>
          </cell>
        </row>
        <row r="45">
          <cell r="A45" t="str">
            <v xml:space="preserve">P330053 </v>
          </cell>
          <cell r="B45" t="str">
            <v>P330053 - Parish of Hadleigh</v>
          </cell>
          <cell r="C45">
            <v>16000</v>
          </cell>
        </row>
        <row r="46">
          <cell r="A46" t="str">
            <v xml:space="preserve">P330054 </v>
          </cell>
          <cell r="B46" t="str">
            <v>P330054 - Parish of Higham</v>
          </cell>
          <cell r="C46">
            <v>5000</v>
          </cell>
        </row>
        <row r="47">
          <cell r="A47" t="str">
            <v xml:space="preserve">P330055 </v>
          </cell>
          <cell r="B47" t="str">
            <v>P330055 - Parish of Hintlesham and Chattisham UP</v>
          </cell>
          <cell r="C47">
            <v>8850</v>
          </cell>
        </row>
        <row r="48">
          <cell r="A48" t="str">
            <v xml:space="preserve">P330056 </v>
          </cell>
          <cell r="B48" t="str">
            <v>P330056 - Parish of Holton St Mary</v>
          </cell>
          <cell r="C48">
            <v>4000</v>
          </cell>
        </row>
        <row r="49">
          <cell r="A49" t="str">
            <v xml:space="preserve">P330057 </v>
          </cell>
          <cell r="B49" t="str">
            <v>P330057 - Parish of Kersey</v>
          </cell>
          <cell r="C49">
            <v>4256</v>
          </cell>
        </row>
        <row r="50">
          <cell r="A50" t="str">
            <v xml:space="preserve">P330058 </v>
          </cell>
          <cell r="B50" t="str">
            <v>P330058 - Parish of Layham</v>
          </cell>
          <cell r="C50">
            <v>3000</v>
          </cell>
        </row>
        <row r="51">
          <cell r="A51" t="str">
            <v xml:space="preserve">P330059 </v>
          </cell>
          <cell r="B51" t="str">
            <v>P330059 - Parish of Leavenheath</v>
          </cell>
          <cell r="C51">
            <v>3534</v>
          </cell>
        </row>
        <row r="52">
          <cell r="A52" t="str">
            <v xml:space="preserve">P330062 </v>
          </cell>
          <cell r="B52" t="str">
            <v>P330062 - Parish of Nayland</v>
          </cell>
          <cell r="C52">
            <v>5000</v>
          </cell>
        </row>
        <row r="53">
          <cell r="A53" t="str">
            <v xml:space="preserve">P330063 </v>
          </cell>
          <cell r="B53" t="str">
            <v>P330063 - Parish of Nedging</v>
          </cell>
          <cell r="C53">
            <v>1255</v>
          </cell>
        </row>
        <row r="54">
          <cell r="A54" t="str">
            <v xml:space="preserve">P330064 </v>
          </cell>
          <cell r="B54" t="str">
            <v>P330064 - Parish of Polstead</v>
          </cell>
          <cell r="C54">
            <v>3093</v>
          </cell>
        </row>
        <row r="55">
          <cell r="A55" t="str">
            <v xml:space="preserve">P330065 </v>
          </cell>
          <cell r="B55" t="str">
            <v>P330065 - Parish of Raydon</v>
          </cell>
          <cell r="C55">
            <v>3600</v>
          </cell>
        </row>
        <row r="56">
          <cell r="A56" t="str">
            <v xml:space="preserve">P330066 </v>
          </cell>
          <cell r="B56" t="str">
            <v>P330066 - Parish of Semer</v>
          </cell>
          <cell r="C56">
            <v>835</v>
          </cell>
        </row>
        <row r="57">
          <cell r="A57" t="str">
            <v xml:space="preserve">P330067 </v>
          </cell>
          <cell r="B57" t="str">
            <v>P330067 - Parish of Shelley</v>
          </cell>
          <cell r="C57">
            <v>2000</v>
          </cell>
        </row>
        <row r="58">
          <cell r="A58" t="str">
            <v xml:space="preserve">P330068 </v>
          </cell>
          <cell r="B58" t="str">
            <v>P330068 - Parish of Stoke-by-Nayland</v>
          </cell>
          <cell r="C58">
            <v>19750</v>
          </cell>
        </row>
        <row r="59">
          <cell r="A59" t="str">
            <v xml:space="preserve">P330069 </v>
          </cell>
          <cell r="B59" t="str">
            <v>P330069 - Parish of Great Wenham</v>
          </cell>
          <cell r="C59">
            <v>2114</v>
          </cell>
        </row>
        <row r="60">
          <cell r="A60" t="str">
            <v xml:space="preserve">P330070 </v>
          </cell>
          <cell r="B60" t="str">
            <v>P330070 - Parish of Whatfield</v>
          </cell>
          <cell r="C60">
            <v>1000</v>
          </cell>
        </row>
        <row r="61">
          <cell r="A61" t="str">
            <v xml:space="preserve">P330071 </v>
          </cell>
          <cell r="B61" t="str">
            <v>P330071 - Parish of Wissington</v>
          </cell>
          <cell r="C61">
            <v>1831</v>
          </cell>
        </row>
        <row r="62">
          <cell r="A62" t="str">
            <v xml:space="preserve">P330072 </v>
          </cell>
          <cell r="B62" t="str">
            <v>P330072 - Parish of Stratford St Mary</v>
          </cell>
          <cell r="C62">
            <v>5000</v>
          </cell>
        </row>
        <row r="63">
          <cell r="A63" t="str">
            <v xml:space="preserve">P330073 </v>
          </cell>
          <cell r="B63" t="str">
            <v>P330073 - Parish of Bramford</v>
          </cell>
          <cell r="C63">
            <v>3000</v>
          </cell>
        </row>
        <row r="64">
          <cell r="A64" t="str">
            <v xml:space="preserve">P330074 </v>
          </cell>
          <cell r="B64" t="str">
            <v>P330074 - Parish of Ipswich All Hallows</v>
          </cell>
          <cell r="C64">
            <v>2100</v>
          </cell>
        </row>
        <row r="65">
          <cell r="A65" t="str">
            <v xml:space="preserve">P330076 </v>
          </cell>
          <cell r="B65" t="str">
            <v>P330076 - Parish of Ipswich Holy Trinity</v>
          </cell>
          <cell r="C65">
            <v>1500</v>
          </cell>
        </row>
        <row r="66">
          <cell r="A66" t="str">
            <v xml:space="preserve">P330077 </v>
          </cell>
          <cell r="B66" t="str">
            <v>P330077 - Parish of Ipswich St Clements</v>
          </cell>
          <cell r="C66">
            <v>3374</v>
          </cell>
        </row>
        <row r="67">
          <cell r="A67" t="str">
            <v xml:space="preserve">P330078 </v>
          </cell>
          <cell r="B67" t="str">
            <v>P330078 - Parish of Ipswich St Andrew</v>
          </cell>
          <cell r="C67">
            <v>6880</v>
          </cell>
        </row>
        <row r="68">
          <cell r="A68" t="str">
            <v xml:space="preserve">P330079 </v>
          </cell>
          <cell r="B68" t="str">
            <v>P330079 - Parish of Ipswich St Augustine of Hippo</v>
          </cell>
          <cell r="C68">
            <v>17000</v>
          </cell>
        </row>
        <row r="69">
          <cell r="A69" t="str">
            <v xml:space="preserve">P330080 </v>
          </cell>
          <cell r="B69" t="str">
            <v>P330080 - Parish of Ipswich St Bartholomew</v>
          </cell>
          <cell r="C69">
            <v>9820</v>
          </cell>
        </row>
        <row r="70">
          <cell r="A70" t="str">
            <v xml:space="preserve">P330082 </v>
          </cell>
          <cell r="B70" t="str">
            <v>P330082 - Parish of Ipswich St Helen</v>
          </cell>
          <cell r="C70">
            <v>10000</v>
          </cell>
        </row>
        <row r="71">
          <cell r="A71" t="str">
            <v xml:space="preserve">P330084 </v>
          </cell>
          <cell r="B71" t="str">
            <v>P330084 - Parish of Ipswich St John the Baptist</v>
          </cell>
          <cell r="C71">
            <v>21350</v>
          </cell>
        </row>
        <row r="72">
          <cell r="A72" t="str">
            <v xml:space="preserve">P330085 </v>
          </cell>
          <cell r="B72" t="str">
            <v>P330085 - Parish of Ipswich St Margaret</v>
          </cell>
          <cell r="C72">
            <v>24892</v>
          </cell>
        </row>
        <row r="73">
          <cell r="A73" t="str">
            <v xml:space="preserve">P330086 </v>
          </cell>
          <cell r="B73" t="str">
            <v>P330086 - Parish of Ipswich St Mary-at-the-Elms</v>
          </cell>
          <cell r="C73">
            <v>4500</v>
          </cell>
        </row>
        <row r="74">
          <cell r="A74" t="str">
            <v xml:space="preserve">P330087 </v>
          </cell>
          <cell r="B74" t="str">
            <v>P330087 - Parish of Ipswich St Mary Le Tower</v>
          </cell>
          <cell r="C74">
            <v>15000</v>
          </cell>
        </row>
        <row r="75">
          <cell r="A75" t="str">
            <v xml:space="preserve">P330088 </v>
          </cell>
          <cell r="B75" t="str">
            <v>P330088 - Parish of Ipswich SWITM</v>
          </cell>
          <cell r="C75">
            <v>8000</v>
          </cell>
        </row>
        <row r="76">
          <cell r="A76" t="str">
            <v xml:space="preserve">P330089 </v>
          </cell>
          <cell r="B76" t="str">
            <v>P330089 - Parish of Ipswich St Matthew</v>
          </cell>
          <cell r="C76">
            <v>20748</v>
          </cell>
        </row>
        <row r="77">
          <cell r="A77" t="str">
            <v xml:space="preserve">P330092 </v>
          </cell>
          <cell r="B77" t="str">
            <v>P330092 - Parish of Ipswich St Thomas</v>
          </cell>
          <cell r="C77">
            <v>9100</v>
          </cell>
        </row>
        <row r="78">
          <cell r="A78" t="str">
            <v xml:space="preserve">P330093 </v>
          </cell>
          <cell r="B78" t="str">
            <v>P330093 - Parish of Kesgrave</v>
          </cell>
          <cell r="C78">
            <v>10434</v>
          </cell>
        </row>
        <row r="79">
          <cell r="A79" t="str">
            <v xml:space="preserve">P330094 </v>
          </cell>
          <cell r="B79" t="str">
            <v>P330094 - Parish of Rushmere St Andrew</v>
          </cell>
          <cell r="C79">
            <v>22154</v>
          </cell>
        </row>
        <row r="80">
          <cell r="A80" t="str">
            <v xml:space="preserve">P330097 </v>
          </cell>
          <cell r="B80" t="str">
            <v>P330097 - Parish of Whitton</v>
          </cell>
          <cell r="C80">
            <v>15089</v>
          </cell>
        </row>
        <row r="81">
          <cell r="A81" t="str">
            <v xml:space="preserve">P330100 </v>
          </cell>
          <cell r="B81" t="str">
            <v>P330100 - Parish of Bentley</v>
          </cell>
          <cell r="C81">
            <v>1600</v>
          </cell>
        </row>
        <row r="82">
          <cell r="A82" t="str">
            <v xml:space="preserve">P330101 </v>
          </cell>
          <cell r="B82" t="str">
            <v>P330101 - Parish of East Bergholt</v>
          </cell>
          <cell r="C82">
            <v>10600</v>
          </cell>
        </row>
        <row r="83">
          <cell r="A83" t="str">
            <v xml:space="preserve">P330102 </v>
          </cell>
          <cell r="B83" t="str">
            <v>P330102 - Parish of Brantham</v>
          </cell>
          <cell r="C83">
            <v>6585</v>
          </cell>
        </row>
        <row r="84">
          <cell r="A84" t="str">
            <v xml:space="preserve">P330103 </v>
          </cell>
          <cell r="B84" t="str">
            <v>P330103 - Parish of Burstall</v>
          </cell>
          <cell r="C84">
            <v>2500</v>
          </cell>
        </row>
        <row r="85">
          <cell r="A85" t="str">
            <v xml:space="preserve">P330104 </v>
          </cell>
          <cell r="B85" t="str">
            <v>P330104 - Parish of Capel St Mary with Lt. Wenham</v>
          </cell>
          <cell r="C85">
            <v>3200</v>
          </cell>
        </row>
        <row r="86">
          <cell r="A86" t="str">
            <v xml:space="preserve">P330106 </v>
          </cell>
          <cell r="B86" t="str">
            <v>P330106 - Parish of Chelmondiston</v>
          </cell>
          <cell r="C86">
            <v>6800</v>
          </cell>
        </row>
        <row r="87">
          <cell r="A87" t="str">
            <v xml:space="preserve">P330107 </v>
          </cell>
          <cell r="B87" t="str">
            <v>P330107 - Parish of Copdock with Washbrook</v>
          </cell>
          <cell r="C87">
            <v>5000</v>
          </cell>
        </row>
        <row r="88">
          <cell r="A88" t="str">
            <v xml:space="preserve">P330108 </v>
          </cell>
          <cell r="B88" t="str">
            <v>P330108 - Parish of Erwarton</v>
          </cell>
          <cell r="C88">
            <v>2400</v>
          </cell>
        </row>
        <row r="89">
          <cell r="A89" t="str">
            <v xml:space="preserve">P330109 </v>
          </cell>
          <cell r="B89" t="str">
            <v>P330109 - Parish of Freston</v>
          </cell>
          <cell r="C89">
            <v>1571</v>
          </cell>
        </row>
        <row r="90">
          <cell r="A90" t="str">
            <v xml:space="preserve">P330110 </v>
          </cell>
          <cell r="B90" t="str">
            <v>P330110 - Parish of Harkstead</v>
          </cell>
          <cell r="C90">
            <v>7000</v>
          </cell>
        </row>
        <row r="91">
          <cell r="A91" t="str">
            <v xml:space="preserve">P330112 </v>
          </cell>
          <cell r="B91" t="str">
            <v>P330112 - Parish of Shotley</v>
          </cell>
          <cell r="C91">
            <v>2400</v>
          </cell>
        </row>
        <row r="92">
          <cell r="A92" t="str">
            <v xml:space="preserve">P330113 </v>
          </cell>
          <cell r="B92" t="str">
            <v>P330113 - Parish of Sproughton</v>
          </cell>
          <cell r="C92">
            <v>4500</v>
          </cell>
        </row>
        <row r="93">
          <cell r="A93" t="str">
            <v xml:space="preserve">P330114 </v>
          </cell>
          <cell r="B93" t="str">
            <v>P330114 - Parish of Stutton</v>
          </cell>
          <cell r="C93">
            <v>5000</v>
          </cell>
        </row>
        <row r="94">
          <cell r="A94" t="str">
            <v xml:space="preserve">P330115 </v>
          </cell>
          <cell r="B94" t="str">
            <v>P330115 - Parish of Tattingstone</v>
          </cell>
          <cell r="C94">
            <v>3900</v>
          </cell>
        </row>
        <row r="95">
          <cell r="A95" t="str">
            <v xml:space="preserve">P330117 </v>
          </cell>
          <cell r="B95" t="str">
            <v>P330117 - Parish of Wherstead</v>
          </cell>
          <cell r="C95">
            <v>2378</v>
          </cell>
        </row>
        <row r="96">
          <cell r="A96" t="str">
            <v xml:space="preserve">P330119 </v>
          </cell>
          <cell r="B96" t="str">
            <v>P330119 - Parish of Bacton</v>
          </cell>
          <cell r="C96">
            <v>6300</v>
          </cell>
        </row>
        <row r="97">
          <cell r="A97" t="str">
            <v xml:space="preserve">P330120 </v>
          </cell>
          <cell r="B97" t="str">
            <v>P330120 - Parish of Buxhall</v>
          </cell>
          <cell r="C97">
            <v>3276</v>
          </cell>
        </row>
        <row r="98">
          <cell r="A98" t="str">
            <v xml:space="preserve">P330121 </v>
          </cell>
          <cell r="B98" t="str">
            <v>P330121 - Parish of Combs</v>
          </cell>
          <cell r="C98">
            <v>10418</v>
          </cell>
        </row>
        <row r="99">
          <cell r="A99" t="str">
            <v xml:space="preserve">P330122 </v>
          </cell>
          <cell r="B99" t="str">
            <v>P330122 - Parish of Cotton</v>
          </cell>
          <cell r="C99">
            <v>4000</v>
          </cell>
        </row>
        <row r="100">
          <cell r="A100" t="str">
            <v xml:space="preserve">P330124 </v>
          </cell>
          <cell r="B100" t="str">
            <v>P330124 - Parish of Great Finborough</v>
          </cell>
          <cell r="C100">
            <v>4186</v>
          </cell>
        </row>
        <row r="101">
          <cell r="A101" t="str">
            <v xml:space="preserve">P330125 </v>
          </cell>
          <cell r="B101" t="str">
            <v>P330125 - Parish of Harleston</v>
          </cell>
          <cell r="C101">
            <v>1360</v>
          </cell>
        </row>
        <row r="102">
          <cell r="A102" t="str">
            <v xml:space="preserve">P330126 </v>
          </cell>
          <cell r="B102" t="str">
            <v>P330126 - Parish of Haughley</v>
          </cell>
          <cell r="C102">
            <v>15902</v>
          </cell>
        </row>
        <row r="103">
          <cell r="A103" t="str">
            <v xml:space="preserve">P330127 </v>
          </cell>
          <cell r="B103" t="str">
            <v>P330127 - Parish of Mendlesham</v>
          </cell>
          <cell r="C103">
            <v>6300</v>
          </cell>
        </row>
        <row r="104">
          <cell r="A104" t="str">
            <v xml:space="preserve">P330128 </v>
          </cell>
          <cell r="B104" t="str">
            <v>P330128 - Parish of Old Newton</v>
          </cell>
          <cell r="C104">
            <v>2500</v>
          </cell>
        </row>
        <row r="105">
          <cell r="A105" t="str">
            <v xml:space="preserve">P330130 </v>
          </cell>
          <cell r="B105" t="str">
            <v>P330130 - Parish of Onehouse</v>
          </cell>
          <cell r="C105">
            <v>1775</v>
          </cell>
        </row>
        <row r="106">
          <cell r="A106" t="str">
            <v xml:space="preserve">P330131 </v>
          </cell>
          <cell r="B106" t="str">
            <v>P330131 - Parish of Shelland</v>
          </cell>
          <cell r="C106">
            <v>2612</v>
          </cell>
        </row>
        <row r="107">
          <cell r="A107" t="str">
            <v xml:space="preserve">P330132 </v>
          </cell>
          <cell r="B107" t="str">
            <v>P330132 - Parish of Stoke Ash with Thwaite</v>
          </cell>
          <cell r="C107">
            <v>200</v>
          </cell>
        </row>
        <row r="108">
          <cell r="A108" t="str">
            <v xml:space="preserve">P330133 </v>
          </cell>
          <cell r="B108" t="str">
            <v>P330133 - Parish of Stowmarket</v>
          </cell>
          <cell r="C108">
            <v>26892</v>
          </cell>
        </row>
        <row r="109">
          <cell r="A109" t="str">
            <v xml:space="preserve">P330134 </v>
          </cell>
          <cell r="B109" t="str">
            <v>P330134 - Parish of Stowupland</v>
          </cell>
          <cell r="C109">
            <v>6531</v>
          </cell>
        </row>
        <row r="110">
          <cell r="A110" t="str">
            <v xml:space="preserve">P330136 </v>
          </cell>
          <cell r="B110" t="str">
            <v>P330136 - Parish of Westhorpe</v>
          </cell>
          <cell r="C110">
            <v>1525</v>
          </cell>
        </row>
        <row r="111">
          <cell r="A111" t="str">
            <v xml:space="preserve">P330137 </v>
          </cell>
          <cell r="B111" t="str">
            <v>P330137 - Parish of Wetherden</v>
          </cell>
          <cell r="C111">
            <v>4460</v>
          </cell>
        </row>
        <row r="112">
          <cell r="A112" t="str">
            <v xml:space="preserve">P330138 </v>
          </cell>
          <cell r="B112" t="str">
            <v>P330138 - Parish of Wetheringsett cum Brockford</v>
          </cell>
          <cell r="C112">
            <v>2000</v>
          </cell>
        </row>
        <row r="113">
          <cell r="A113" t="str">
            <v xml:space="preserve">P330139 </v>
          </cell>
          <cell r="B113" t="str">
            <v>P330139 - Parish of Wickham Skeith</v>
          </cell>
          <cell r="C113">
            <v>2173</v>
          </cell>
        </row>
        <row r="114">
          <cell r="A114" t="str">
            <v xml:space="preserve">P330140 </v>
          </cell>
          <cell r="B114" t="str">
            <v>P330140 - Parish of Wyverstone</v>
          </cell>
          <cell r="C114">
            <v>1756</v>
          </cell>
        </row>
        <row r="115">
          <cell r="A115" t="str">
            <v xml:space="preserve">P330141 </v>
          </cell>
          <cell r="B115" t="str">
            <v>P330141 - Parish of Alderton</v>
          </cell>
          <cell r="C115">
            <v>4800</v>
          </cell>
        </row>
        <row r="116">
          <cell r="A116" t="str">
            <v xml:space="preserve">P330142 </v>
          </cell>
          <cell r="B116" t="str">
            <v>P330142 - Parish of Bawdsey</v>
          </cell>
          <cell r="C116">
            <v>1500</v>
          </cell>
        </row>
        <row r="117">
          <cell r="A117" t="str">
            <v xml:space="preserve">P330143 </v>
          </cell>
          <cell r="B117" t="str">
            <v>P330143 - Parish of Boulge</v>
          </cell>
          <cell r="C117">
            <v>542</v>
          </cell>
        </row>
        <row r="118">
          <cell r="A118" t="str">
            <v xml:space="preserve">P330146 </v>
          </cell>
          <cell r="B118" t="str">
            <v>P330146 - Parish of Bromeswell</v>
          </cell>
          <cell r="C118">
            <v>3100</v>
          </cell>
        </row>
        <row r="119">
          <cell r="A119" t="str">
            <v xml:space="preserve">P330147 </v>
          </cell>
          <cell r="B119" t="str">
            <v>P330147 - Parish of Burgh</v>
          </cell>
          <cell r="C119">
            <v>2155</v>
          </cell>
        </row>
        <row r="120">
          <cell r="A120" t="str">
            <v xml:space="preserve">P330148 </v>
          </cell>
          <cell r="B120" t="str">
            <v>P330148 - Parish of Butley</v>
          </cell>
          <cell r="C120">
            <v>1545</v>
          </cell>
        </row>
        <row r="121">
          <cell r="A121" t="str">
            <v xml:space="preserve">P330150 </v>
          </cell>
          <cell r="B121" t="str">
            <v>P330150 - Parish of Clopton</v>
          </cell>
          <cell r="C121">
            <v>758</v>
          </cell>
        </row>
        <row r="122">
          <cell r="A122" t="str">
            <v xml:space="preserve">P330151 </v>
          </cell>
          <cell r="B122" t="str">
            <v>P330151 - Parish of Culpho</v>
          </cell>
          <cell r="C122">
            <v>1515</v>
          </cell>
        </row>
        <row r="123">
          <cell r="A123" t="str">
            <v xml:space="preserve">P330154 </v>
          </cell>
          <cell r="B123" t="str">
            <v>P330154 - Parish of Grundisburgh</v>
          </cell>
          <cell r="C123">
            <v>7430</v>
          </cell>
        </row>
        <row r="124">
          <cell r="A124" t="str">
            <v xml:space="preserve">P330155 </v>
          </cell>
          <cell r="B124" t="str">
            <v>P330155 - Parish of Hasketon</v>
          </cell>
          <cell r="C124">
            <v>5764</v>
          </cell>
        </row>
        <row r="125">
          <cell r="A125" t="str">
            <v xml:space="preserve">P330156 </v>
          </cell>
          <cell r="B125" t="str">
            <v>P330156 - Parish of Hollesley</v>
          </cell>
          <cell r="C125">
            <v>3000</v>
          </cell>
        </row>
        <row r="126">
          <cell r="A126" t="str">
            <v xml:space="preserve">P330157 </v>
          </cell>
          <cell r="B126" t="str">
            <v>P330157 - Parish of Iken</v>
          </cell>
          <cell r="C126">
            <v>2128</v>
          </cell>
        </row>
        <row r="127">
          <cell r="A127" t="str">
            <v xml:space="preserve">P330158 </v>
          </cell>
          <cell r="B127" t="str">
            <v>P330158 - Parish of Little Bealings</v>
          </cell>
          <cell r="C127">
            <v>2739</v>
          </cell>
        </row>
        <row r="128">
          <cell r="A128" t="str">
            <v xml:space="preserve">P330159 </v>
          </cell>
          <cell r="B128" t="str">
            <v>P330159 - Parish of Orford</v>
          </cell>
          <cell r="C128">
            <v>8000</v>
          </cell>
        </row>
        <row r="129">
          <cell r="A129" t="str">
            <v xml:space="preserve">P330160 </v>
          </cell>
          <cell r="B129" t="str">
            <v>P330160 - Parish of Otley</v>
          </cell>
          <cell r="C129">
            <v>1752</v>
          </cell>
        </row>
        <row r="130">
          <cell r="A130" t="str">
            <v xml:space="preserve">P330162 </v>
          </cell>
          <cell r="B130" t="str">
            <v>P330162 - Parish of Ramsholt</v>
          </cell>
          <cell r="C130">
            <v>6000</v>
          </cell>
        </row>
        <row r="131">
          <cell r="A131" t="str">
            <v xml:space="preserve">P330163 </v>
          </cell>
          <cell r="B131" t="str">
            <v>P330163 - Parish of Rendlesham St Gregory and St Felix</v>
          </cell>
          <cell r="C131">
            <v>3750</v>
          </cell>
        </row>
        <row r="132">
          <cell r="A132" t="str">
            <v xml:space="preserve">P330164 </v>
          </cell>
          <cell r="B132" t="str">
            <v>P330164 - Parish of Shottisham</v>
          </cell>
          <cell r="C132">
            <v>400</v>
          </cell>
        </row>
        <row r="133">
          <cell r="A133" t="str">
            <v xml:space="preserve">P330165 </v>
          </cell>
          <cell r="B133" t="str">
            <v>P330165 - Parish of Sudbourne</v>
          </cell>
          <cell r="C133">
            <v>3723</v>
          </cell>
        </row>
        <row r="134">
          <cell r="A134" t="str">
            <v xml:space="preserve">P330167 </v>
          </cell>
          <cell r="B134" t="str">
            <v>P330167 - Parish of Tunstall</v>
          </cell>
          <cell r="C134">
            <v>2319</v>
          </cell>
        </row>
        <row r="135">
          <cell r="A135" t="str">
            <v xml:space="preserve">P330168 </v>
          </cell>
          <cell r="B135" t="str">
            <v>P330168 - Parish of Ufford</v>
          </cell>
          <cell r="C135">
            <v>8000</v>
          </cell>
        </row>
        <row r="136">
          <cell r="A136" t="str">
            <v xml:space="preserve">P330170 </v>
          </cell>
          <cell r="B136" t="str">
            <v>P330170 - Parish of Woodbridge St John</v>
          </cell>
          <cell r="C136">
            <v>25418</v>
          </cell>
        </row>
        <row r="137">
          <cell r="A137" t="str">
            <v xml:space="preserve">P330171 </v>
          </cell>
          <cell r="B137" t="str">
            <v>P330171 - Parish of Woodbridge St Mary</v>
          </cell>
          <cell r="C137">
            <v>25869</v>
          </cell>
        </row>
        <row r="138">
          <cell r="A138" t="str">
            <v xml:space="preserve">P330172 </v>
          </cell>
          <cell r="B138" t="str">
            <v>P330172 - Parish of Barnardiston</v>
          </cell>
          <cell r="C138">
            <v>850</v>
          </cell>
        </row>
        <row r="139">
          <cell r="A139" t="str">
            <v xml:space="preserve">P330173 </v>
          </cell>
          <cell r="B139" t="str">
            <v>P330173 - Parish of Cavendish</v>
          </cell>
          <cell r="C139">
            <v>4535</v>
          </cell>
        </row>
        <row r="140">
          <cell r="A140" t="str">
            <v xml:space="preserve">P330174 </v>
          </cell>
          <cell r="B140" t="str">
            <v>P330174 - Parish of Chedburgh</v>
          </cell>
          <cell r="C140">
            <v>1500</v>
          </cell>
        </row>
        <row r="141">
          <cell r="A141" t="str">
            <v xml:space="preserve">P330175 </v>
          </cell>
          <cell r="B141" t="str">
            <v>P330175 - Parish of Clare with Poslingford UP</v>
          </cell>
          <cell r="C141">
            <v>2000</v>
          </cell>
        </row>
        <row r="142">
          <cell r="A142" t="str">
            <v xml:space="preserve">P330177 </v>
          </cell>
          <cell r="B142" t="str">
            <v>P330177 - Parish of Depden</v>
          </cell>
          <cell r="C142">
            <v>2397</v>
          </cell>
        </row>
        <row r="143">
          <cell r="A143" t="str">
            <v xml:space="preserve">P330178 </v>
          </cell>
          <cell r="B143" t="str">
            <v>P330178 - Parish of Great Bradley</v>
          </cell>
          <cell r="C143">
            <v>1000</v>
          </cell>
        </row>
        <row r="144">
          <cell r="A144" t="str">
            <v xml:space="preserve">P330179 </v>
          </cell>
          <cell r="B144" t="str">
            <v>P330179 - Parish of Great Thurlow</v>
          </cell>
          <cell r="C144">
            <v>3400</v>
          </cell>
        </row>
        <row r="145">
          <cell r="A145" t="str">
            <v xml:space="preserve">P330180 </v>
          </cell>
          <cell r="B145" t="str">
            <v>P330180 - Parish of Haverhill</v>
          </cell>
          <cell r="C145">
            <v>3000</v>
          </cell>
        </row>
        <row r="146">
          <cell r="A146" t="str">
            <v xml:space="preserve">P330181 </v>
          </cell>
          <cell r="B146" t="str">
            <v>P330181 - Parish of Hawkedon</v>
          </cell>
          <cell r="C146">
            <v>2434</v>
          </cell>
        </row>
        <row r="147">
          <cell r="A147" t="str">
            <v xml:space="preserve">P330182 </v>
          </cell>
          <cell r="B147" t="str">
            <v>P330182 - Parish of Hundon</v>
          </cell>
          <cell r="C147">
            <v>800</v>
          </cell>
        </row>
        <row r="148">
          <cell r="A148" t="str">
            <v xml:space="preserve">P330183 </v>
          </cell>
          <cell r="B148" t="str">
            <v>P330183 - Parish of Kedington</v>
          </cell>
          <cell r="C148">
            <v>4000</v>
          </cell>
        </row>
        <row r="149">
          <cell r="A149" t="str">
            <v xml:space="preserve">P330184 </v>
          </cell>
          <cell r="B149" t="str">
            <v>P330184 - Parish of Little Bradley</v>
          </cell>
          <cell r="C149">
            <v>2000</v>
          </cell>
        </row>
        <row r="150">
          <cell r="A150" t="str">
            <v xml:space="preserve">P330187 </v>
          </cell>
          <cell r="B150" t="str">
            <v>P330187 - Parish of Rede</v>
          </cell>
          <cell r="C150">
            <v>2000</v>
          </cell>
        </row>
        <row r="151">
          <cell r="A151" t="str">
            <v xml:space="preserve">P330188 </v>
          </cell>
          <cell r="B151" t="str">
            <v>P330188 - Parish of Stansfield</v>
          </cell>
          <cell r="C151">
            <v>3000</v>
          </cell>
        </row>
        <row r="152">
          <cell r="A152" t="str">
            <v xml:space="preserve">P330189 </v>
          </cell>
          <cell r="B152" t="str">
            <v>P330189 - Parish of Stoke by Clare</v>
          </cell>
          <cell r="C152">
            <v>4123</v>
          </cell>
        </row>
        <row r="153">
          <cell r="A153" t="str">
            <v xml:space="preserve">P330191 </v>
          </cell>
          <cell r="B153" t="str">
            <v>P330191 - Parish of Wickhambrook</v>
          </cell>
          <cell r="C153">
            <v>1600</v>
          </cell>
        </row>
        <row r="154">
          <cell r="A154" t="str">
            <v xml:space="preserve">P330192 </v>
          </cell>
          <cell r="B154" t="str">
            <v>P330192 - Parish of Withersfield</v>
          </cell>
          <cell r="C154">
            <v>2000</v>
          </cell>
        </row>
        <row r="155">
          <cell r="A155" t="str">
            <v xml:space="preserve">P330193 </v>
          </cell>
          <cell r="B155" t="str">
            <v>P330193 - Parish of Wixoe</v>
          </cell>
          <cell r="C155">
            <v>2970</v>
          </cell>
        </row>
        <row r="156">
          <cell r="A156" t="str">
            <v xml:space="preserve">P330196 </v>
          </cell>
          <cell r="B156" t="str">
            <v>P330196 - Parish of Badwell Ash</v>
          </cell>
          <cell r="C156">
            <v>2150</v>
          </cell>
        </row>
        <row r="157">
          <cell r="A157" t="str">
            <v xml:space="preserve">P330197 </v>
          </cell>
          <cell r="B157" t="str">
            <v>P330197 - Parish of Bardwell</v>
          </cell>
          <cell r="C157">
            <v>2000</v>
          </cell>
        </row>
        <row r="158">
          <cell r="A158" t="str">
            <v xml:space="preserve">P330198 </v>
          </cell>
          <cell r="B158" t="str">
            <v>P330198 - Parish of Barnham</v>
          </cell>
          <cell r="C158">
            <v>5500</v>
          </cell>
        </row>
        <row r="159">
          <cell r="A159" t="str">
            <v xml:space="preserve">P330199 </v>
          </cell>
          <cell r="B159" t="str">
            <v>P330199 - Parish of Barningham</v>
          </cell>
          <cell r="C159">
            <v>2183</v>
          </cell>
        </row>
        <row r="160">
          <cell r="A160" t="str">
            <v xml:space="preserve">P330200 </v>
          </cell>
          <cell r="B160" t="str">
            <v>P330200 - Parish of Coney Weston</v>
          </cell>
          <cell r="C160">
            <v>1303</v>
          </cell>
        </row>
        <row r="161">
          <cell r="A161" t="str">
            <v xml:space="preserve">P330201 </v>
          </cell>
          <cell r="B161" t="str">
            <v>P330201 - Parish of Euston</v>
          </cell>
          <cell r="C161">
            <v>2000</v>
          </cell>
        </row>
        <row r="162">
          <cell r="A162" t="str">
            <v xml:space="preserve">P330202 </v>
          </cell>
          <cell r="B162" t="str">
            <v>P330202 - Parish of Fakenham Magna</v>
          </cell>
          <cell r="C162">
            <v>2000</v>
          </cell>
        </row>
        <row r="163">
          <cell r="A163" t="str">
            <v xml:space="preserve">P330203 </v>
          </cell>
          <cell r="B163" t="str">
            <v>P330203 - Parish of Great Ashfield</v>
          </cell>
          <cell r="C163">
            <v>1111</v>
          </cell>
        </row>
        <row r="164">
          <cell r="A164" t="str">
            <v xml:space="preserve">P330206 </v>
          </cell>
          <cell r="B164" t="str">
            <v>P330206 - Parish of Hinderclay</v>
          </cell>
          <cell r="C164">
            <v>1500</v>
          </cell>
        </row>
        <row r="165">
          <cell r="A165" t="str">
            <v xml:space="preserve">P330207 </v>
          </cell>
          <cell r="B165" t="str">
            <v>P330207 - Parish of Honington with Sapiston</v>
          </cell>
          <cell r="C165">
            <v>2500</v>
          </cell>
        </row>
        <row r="166">
          <cell r="A166" t="str">
            <v xml:space="preserve">P330208 </v>
          </cell>
          <cell r="B166" t="str">
            <v>P330208 - Parish of Hopton</v>
          </cell>
          <cell r="C166">
            <v>2319</v>
          </cell>
        </row>
        <row r="167">
          <cell r="A167" t="str">
            <v xml:space="preserve">P330210 </v>
          </cell>
          <cell r="B167" t="str">
            <v>P330210 - Parish of Ixworth with Ixworth Thorpe</v>
          </cell>
          <cell r="C167">
            <v>2000</v>
          </cell>
        </row>
        <row r="168">
          <cell r="A168" t="str">
            <v xml:space="preserve">P330213 </v>
          </cell>
          <cell r="B168" t="str">
            <v>P330213 - Parish of Market Weston</v>
          </cell>
          <cell r="C168">
            <v>500</v>
          </cell>
        </row>
        <row r="169">
          <cell r="A169" t="str">
            <v xml:space="preserve">P330214 </v>
          </cell>
          <cell r="B169" t="str">
            <v>P330214 - Parish of Norton</v>
          </cell>
          <cell r="C169">
            <v>2000</v>
          </cell>
        </row>
        <row r="170">
          <cell r="A170" t="str">
            <v xml:space="preserve">P330215 </v>
          </cell>
          <cell r="B170" t="str">
            <v>P330215 - Parish of Pakenham</v>
          </cell>
          <cell r="C170">
            <v>8000</v>
          </cell>
        </row>
        <row r="171">
          <cell r="A171" t="str">
            <v xml:space="preserve">P330216 </v>
          </cell>
          <cell r="B171" t="str">
            <v>P330216 - Parish of Stanton</v>
          </cell>
          <cell r="C171">
            <v>2600</v>
          </cell>
        </row>
        <row r="172">
          <cell r="A172" t="str">
            <v xml:space="preserve">P330219 </v>
          </cell>
          <cell r="B172" t="str">
            <v>P330219 - Parish of Thurston</v>
          </cell>
          <cell r="C172">
            <v>11664</v>
          </cell>
        </row>
        <row r="173">
          <cell r="A173" t="str">
            <v xml:space="preserve">P330220 </v>
          </cell>
          <cell r="B173" t="str">
            <v>P330220 - Parish of Tostock</v>
          </cell>
          <cell r="C173">
            <v>4360</v>
          </cell>
        </row>
        <row r="174">
          <cell r="A174" t="str">
            <v xml:space="preserve">P330221 </v>
          </cell>
          <cell r="B174" t="str">
            <v>P330221 - Parish of Troston</v>
          </cell>
          <cell r="C174">
            <v>1000</v>
          </cell>
        </row>
        <row r="175">
          <cell r="A175" t="str">
            <v xml:space="preserve">P330222 </v>
          </cell>
          <cell r="B175" t="str">
            <v>P330222 - Parish of Walsham-le-Willows</v>
          </cell>
          <cell r="C175">
            <v>6955</v>
          </cell>
        </row>
        <row r="176">
          <cell r="A176" t="str">
            <v xml:space="preserve">P330225 </v>
          </cell>
          <cell r="B176" t="str">
            <v>P330225 - Parish of Bradfield St Clare</v>
          </cell>
          <cell r="C176">
            <v>1655</v>
          </cell>
        </row>
        <row r="177">
          <cell r="A177" t="str">
            <v xml:space="preserve">P330226 </v>
          </cell>
          <cell r="B177" t="str">
            <v>P330226 - Parish of Bradfield St George &amp; Lt. Whelnetham UP</v>
          </cell>
          <cell r="C177">
            <v>3312</v>
          </cell>
        </row>
        <row r="178">
          <cell r="A178" t="str">
            <v xml:space="preserve">P330227 </v>
          </cell>
          <cell r="B178" t="str">
            <v>P330227 - Parish of Brent Eleigh</v>
          </cell>
          <cell r="C178">
            <v>1906</v>
          </cell>
        </row>
        <row r="179">
          <cell r="A179" t="str">
            <v xml:space="preserve">P330228 </v>
          </cell>
          <cell r="B179" t="str">
            <v>P330228 - Parish of Brettenham</v>
          </cell>
          <cell r="C179">
            <v>2500</v>
          </cell>
        </row>
        <row r="180">
          <cell r="A180" t="str">
            <v xml:space="preserve">P330229 </v>
          </cell>
          <cell r="B180" t="str">
            <v>P330229 - Parish of Chelsworth</v>
          </cell>
          <cell r="C180">
            <v>1906</v>
          </cell>
        </row>
        <row r="181">
          <cell r="A181" t="str">
            <v xml:space="preserve">P330230 </v>
          </cell>
          <cell r="B181" t="str">
            <v>P330230 - Parish of Cockfield</v>
          </cell>
          <cell r="C181">
            <v>8375</v>
          </cell>
        </row>
        <row r="182">
          <cell r="A182" t="str">
            <v xml:space="preserve">P330231 </v>
          </cell>
          <cell r="B182" t="str">
            <v>P330231 - Parish of Drinkstone</v>
          </cell>
          <cell r="C182">
            <v>12274</v>
          </cell>
        </row>
        <row r="183">
          <cell r="A183" t="str">
            <v xml:space="preserve">P330232 </v>
          </cell>
          <cell r="B183" t="str">
            <v>P330232 - Parish of Elmswell</v>
          </cell>
          <cell r="C183">
            <v>13575</v>
          </cell>
        </row>
        <row r="184">
          <cell r="A184" t="str">
            <v xml:space="preserve">P330233 </v>
          </cell>
          <cell r="B184" t="str">
            <v>P330233 - Parish of Felsham</v>
          </cell>
          <cell r="C184">
            <v>3310</v>
          </cell>
        </row>
        <row r="185">
          <cell r="A185" t="str">
            <v xml:space="preserve">P330234 </v>
          </cell>
          <cell r="B185" t="str">
            <v>P330234 - Parish of Gedding</v>
          </cell>
          <cell r="C185">
            <v>1545</v>
          </cell>
        </row>
        <row r="186">
          <cell r="A186" t="str">
            <v xml:space="preserve">P330235 </v>
          </cell>
          <cell r="B186" t="str">
            <v>P330235 - Parish of Great Whelnetham</v>
          </cell>
          <cell r="C186">
            <v>1000</v>
          </cell>
        </row>
        <row r="187">
          <cell r="A187" t="str">
            <v xml:space="preserve">P330238 </v>
          </cell>
          <cell r="B187" t="str">
            <v>P330238 - Parish of Kettlebaston</v>
          </cell>
          <cell r="C187">
            <v>953</v>
          </cell>
        </row>
        <row r="188">
          <cell r="A188" t="str">
            <v xml:space="preserve">P330239 </v>
          </cell>
          <cell r="B188" t="str">
            <v>P330239 - Parish of Lavenham</v>
          </cell>
          <cell r="C188">
            <v>20800</v>
          </cell>
        </row>
        <row r="189">
          <cell r="A189" t="str">
            <v xml:space="preserve">P330241 </v>
          </cell>
          <cell r="B189" t="str">
            <v>P330241 - Parish of Little Finborough</v>
          </cell>
          <cell r="C189">
            <v>2290</v>
          </cell>
        </row>
        <row r="190">
          <cell r="A190" t="str">
            <v xml:space="preserve">P330243 </v>
          </cell>
          <cell r="B190" t="str">
            <v>P330243 - Parish of Milden</v>
          </cell>
          <cell r="C190">
            <v>2478</v>
          </cell>
        </row>
        <row r="191">
          <cell r="A191" t="str">
            <v xml:space="preserve">P330244 </v>
          </cell>
          <cell r="B191" t="str">
            <v>P330244 - Parish of Monks Eleigh</v>
          </cell>
          <cell r="C191">
            <v>3526</v>
          </cell>
        </row>
        <row r="192">
          <cell r="A192" t="str">
            <v xml:space="preserve">P330246 </v>
          </cell>
          <cell r="B192" t="str">
            <v>P330246 - Parish of Rattlesden</v>
          </cell>
          <cell r="C192">
            <v>11691</v>
          </cell>
        </row>
        <row r="193">
          <cell r="A193" t="str">
            <v xml:space="preserve">P330249 </v>
          </cell>
          <cell r="B193" t="str">
            <v>P330249 - Parish of Thorpe Morieux</v>
          </cell>
          <cell r="C193">
            <v>11375</v>
          </cell>
        </row>
        <row r="194">
          <cell r="A194" t="str">
            <v xml:space="preserve">P330250 </v>
          </cell>
          <cell r="B194" t="str">
            <v>P330250 - Parish of Woolpit</v>
          </cell>
          <cell r="C194">
            <v>18800</v>
          </cell>
        </row>
        <row r="195">
          <cell r="A195" t="str">
            <v xml:space="preserve">P330251 </v>
          </cell>
          <cell r="B195" t="str">
            <v>P330251 - Parish of Barton Mills</v>
          </cell>
          <cell r="C195">
            <v>6600</v>
          </cell>
        </row>
        <row r="196">
          <cell r="A196" t="str">
            <v xml:space="preserve">P330252 </v>
          </cell>
          <cell r="B196" t="str">
            <v>P330252 - Parish of Beck Row with Kenny Hill</v>
          </cell>
          <cell r="C196">
            <v>2500</v>
          </cell>
        </row>
        <row r="197">
          <cell r="A197" t="str">
            <v xml:space="preserve">P330254 </v>
          </cell>
          <cell r="B197" t="str">
            <v>P330254 - Parish of Brandon with Wangford</v>
          </cell>
          <cell r="C197">
            <v>3000</v>
          </cell>
        </row>
        <row r="198">
          <cell r="A198" t="str">
            <v xml:space="preserve">P330257 </v>
          </cell>
          <cell r="B198" t="str">
            <v>P330257 - Parish of Cowlinge</v>
          </cell>
          <cell r="C198">
            <v>500</v>
          </cell>
        </row>
        <row r="199">
          <cell r="A199" t="str">
            <v xml:space="preserve">P330258 </v>
          </cell>
          <cell r="B199" t="str">
            <v>P330258 - Parish of Dalham</v>
          </cell>
          <cell r="C199">
            <v>1600</v>
          </cell>
        </row>
        <row r="200">
          <cell r="A200" t="str">
            <v xml:space="preserve">P330259 </v>
          </cell>
          <cell r="B200" t="str">
            <v>P330259 - Parish of Elveden</v>
          </cell>
          <cell r="C200">
            <v>1305</v>
          </cell>
        </row>
        <row r="201">
          <cell r="A201" t="str">
            <v xml:space="preserve">P330260 </v>
          </cell>
          <cell r="B201" t="str">
            <v>P330260 - Parish of Eriswell</v>
          </cell>
          <cell r="C201">
            <v>2000</v>
          </cell>
        </row>
        <row r="202">
          <cell r="A202" t="str">
            <v xml:space="preserve">P330261 </v>
          </cell>
          <cell r="B202" t="str">
            <v>P330261 - Parish of Exning St Agnes</v>
          </cell>
          <cell r="C202">
            <v>7000</v>
          </cell>
        </row>
        <row r="203">
          <cell r="A203" t="str">
            <v xml:space="preserve">P330262 </v>
          </cell>
          <cell r="B203" t="str">
            <v>P330262 - Parish of Exning St Martin with the Chapel of Landwade</v>
          </cell>
          <cell r="C203">
            <v>1000</v>
          </cell>
        </row>
        <row r="204">
          <cell r="A204" t="str">
            <v xml:space="preserve">P330264 </v>
          </cell>
          <cell r="B204" t="str">
            <v>P330264 - Parish of Freckenham</v>
          </cell>
          <cell r="C204">
            <v>1977</v>
          </cell>
        </row>
        <row r="205">
          <cell r="A205" t="str">
            <v xml:space="preserve">P330265 </v>
          </cell>
          <cell r="B205" t="str">
            <v>P330265 - Parish of Gazeley</v>
          </cell>
          <cell r="C205">
            <v>2392</v>
          </cell>
        </row>
        <row r="206">
          <cell r="A206" t="str">
            <v xml:space="preserve">P330267 </v>
          </cell>
          <cell r="B206" t="str">
            <v>P330267 - Parish of Higham Green</v>
          </cell>
          <cell r="C206">
            <v>1000</v>
          </cell>
        </row>
        <row r="207">
          <cell r="A207" t="str">
            <v xml:space="preserve">P330268 </v>
          </cell>
          <cell r="B207" t="str">
            <v>P330268 - Parish of Icklingham</v>
          </cell>
          <cell r="C207">
            <v>2478</v>
          </cell>
        </row>
        <row r="208">
          <cell r="A208" t="str">
            <v xml:space="preserve">P330270 </v>
          </cell>
          <cell r="B208" t="str">
            <v>P330270 - Parish of Lakenheath</v>
          </cell>
          <cell r="C208">
            <v>3000</v>
          </cell>
        </row>
        <row r="209">
          <cell r="A209" t="str">
            <v xml:space="preserve">P330272 </v>
          </cell>
          <cell r="B209" t="str">
            <v>P330272 - Parish of Mildenhall</v>
          </cell>
          <cell r="C209">
            <v>4000</v>
          </cell>
        </row>
        <row r="210">
          <cell r="A210" t="str">
            <v xml:space="preserve">P330273 </v>
          </cell>
          <cell r="B210" t="str">
            <v>P330273 - Parish of Moulton</v>
          </cell>
          <cell r="C210">
            <v>2600</v>
          </cell>
        </row>
        <row r="211">
          <cell r="A211" t="str">
            <v xml:space="preserve">P330276 </v>
          </cell>
          <cell r="B211" t="str">
            <v>P330276 - Parish of Ousden</v>
          </cell>
          <cell r="C211">
            <v>1000</v>
          </cell>
        </row>
        <row r="212">
          <cell r="A212" t="str">
            <v xml:space="preserve">P330277 </v>
          </cell>
          <cell r="B212" t="str">
            <v>P330277 - Parish of Santon Downham</v>
          </cell>
          <cell r="C212">
            <v>2000</v>
          </cell>
        </row>
        <row r="213">
          <cell r="A213" t="str">
            <v xml:space="preserve">P330279 </v>
          </cell>
          <cell r="B213" t="str">
            <v>P330279 - Parish of Tuddenham with Cavenham</v>
          </cell>
          <cell r="C213">
            <v>2333</v>
          </cell>
        </row>
        <row r="214">
          <cell r="A214" t="str">
            <v xml:space="preserve">P330280 </v>
          </cell>
          <cell r="B214" t="str">
            <v>P330280 - Parish of West Row</v>
          </cell>
          <cell r="C214">
            <v>8000</v>
          </cell>
        </row>
        <row r="215">
          <cell r="A215" t="str">
            <v xml:space="preserve">P330281 </v>
          </cell>
          <cell r="B215" t="str">
            <v>P330281 - Parish of Worlington</v>
          </cell>
          <cell r="C215">
            <v>3000</v>
          </cell>
        </row>
        <row r="216">
          <cell r="A216" t="str">
            <v xml:space="preserve">P330282 </v>
          </cell>
          <cell r="B216" t="str">
            <v>P330282 - Parish of Acton</v>
          </cell>
          <cell r="C216">
            <v>2500</v>
          </cell>
        </row>
        <row r="217">
          <cell r="A217" t="str">
            <v xml:space="preserve">P330284 </v>
          </cell>
          <cell r="B217" t="str">
            <v>P330284 - Parish of Assington</v>
          </cell>
          <cell r="C217">
            <v>4300</v>
          </cell>
        </row>
        <row r="218">
          <cell r="A218" t="str">
            <v xml:space="preserve">P330285 </v>
          </cell>
          <cell r="B218" t="str">
            <v>P330285 - Parish of Boxford</v>
          </cell>
          <cell r="C218">
            <v>7500</v>
          </cell>
        </row>
        <row r="219">
          <cell r="A219" t="str">
            <v xml:space="preserve">P330286 </v>
          </cell>
          <cell r="B219" t="str">
            <v>P330286 - Parish of Bures</v>
          </cell>
          <cell r="C219">
            <v>27000</v>
          </cell>
        </row>
        <row r="220">
          <cell r="A220" t="str">
            <v xml:space="preserve">P330288 </v>
          </cell>
          <cell r="B220" t="str">
            <v>P330288 - Parish of Great Cornard</v>
          </cell>
          <cell r="C220">
            <v>7500</v>
          </cell>
        </row>
        <row r="221">
          <cell r="A221" t="str">
            <v xml:space="preserve">P330289 </v>
          </cell>
          <cell r="B221" t="str">
            <v>P330289 - Parish of Little Cornard</v>
          </cell>
          <cell r="C221">
            <v>4225</v>
          </cell>
        </row>
        <row r="222">
          <cell r="A222" t="str">
            <v xml:space="preserve">P330291 </v>
          </cell>
          <cell r="B222" t="str">
            <v>P330291 - Parish of Glemsford</v>
          </cell>
          <cell r="C222">
            <v>3000</v>
          </cell>
        </row>
        <row r="223">
          <cell r="A223" t="str">
            <v xml:space="preserve">P330292 </v>
          </cell>
          <cell r="B223" t="str">
            <v>P330292 - Parish of Great Waldingfield</v>
          </cell>
          <cell r="C223">
            <v>2000</v>
          </cell>
        </row>
        <row r="224">
          <cell r="A224" t="str">
            <v xml:space="preserve">P330293 </v>
          </cell>
          <cell r="B224" t="str">
            <v>P330293 - Parish of Groton</v>
          </cell>
          <cell r="C224">
            <v>2000</v>
          </cell>
        </row>
        <row r="225">
          <cell r="A225" t="str">
            <v xml:space="preserve">P330296 </v>
          </cell>
          <cell r="B225" t="str">
            <v>P330296 - Parish of Long Melford</v>
          </cell>
          <cell r="C225">
            <v>22904</v>
          </cell>
        </row>
        <row r="226">
          <cell r="A226" t="str">
            <v xml:space="preserve">P330298 </v>
          </cell>
          <cell r="B226" t="str">
            <v>P330298 - Parish of Newton Green</v>
          </cell>
          <cell r="C226">
            <v>2000</v>
          </cell>
        </row>
        <row r="227">
          <cell r="A227" t="str">
            <v xml:space="preserve">P330302 </v>
          </cell>
          <cell r="B227" t="str">
            <v>P330302 - Parish of Sudbury All Saints</v>
          </cell>
          <cell r="C227">
            <v>6500</v>
          </cell>
        </row>
        <row r="228">
          <cell r="A228" t="str">
            <v xml:space="preserve">P330303 </v>
          </cell>
          <cell r="B228" t="str">
            <v>P330303 - Parish of Sudbury St Gregory</v>
          </cell>
          <cell r="C228">
            <v>22256</v>
          </cell>
        </row>
        <row r="229">
          <cell r="A229" t="str">
            <v xml:space="preserve">P330306 </v>
          </cell>
          <cell r="B229" t="str">
            <v>P330306 - Parish of Barrow</v>
          </cell>
          <cell r="C229">
            <v>2500</v>
          </cell>
        </row>
        <row r="230">
          <cell r="A230" t="str">
            <v xml:space="preserve">P330307 </v>
          </cell>
          <cell r="B230" t="str">
            <v>P330307 - Parish of Bradfield Combust</v>
          </cell>
          <cell r="C230">
            <v>1500</v>
          </cell>
        </row>
        <row r="231">
          <cell r="A231" t="str">
            <v xml:space="preserve">P330308 </v>
          </cell>
          <cell r="B231" t="str">
            <v>P330308 - Parish of Brockley</v>
          </cell>
          <cell r="C231">
            <v>6000</v>
          </cell>
        </row>
        <row r="232">
          <cell r="A232" t="str">
            <v xml:space="preserve">P330309 </v>
          </cell>
          <cell r="B232" t="str">
            <v>P330309 - Parish of Bury St Edmunds All Saints</v>
          </cell>
          <cell r="C232">
            <v>15832</v>
          </cell>
        </row>
        <row r="233">
          <cell r="A233" t="str">
            <v xml:space="preserve">P330310 </v>
          </cell>
          <cell r="B233" t="str">
            <v>P330310 - Parish of Bury St Edmunds St George</v>
          </cell>
          <cell r="C233">
            <v>3000</v>
          </cell>
        </row>
        <row r="234">
          <cell r="A234" t="str">
            <v xml:space="preserve">P330311 </v>
          </cell>
          <cell r="B234" t="str">
            <v>P330311 - Parish of Bury St Edmunds St John</v>
          </cell>
          <cell r="C234">
            <v>14400</v>
          </cell>
        </row>
        <row r="235">
          <cell r="A235" t="str">
            <v xml:space="preserve">P330312 </v>
          </cell>
          <cell r="B235" t="str">
            <v>P330312 - Parish of Bury St Edmunds St Mary</v>
          </cell>
          <cell r="C235">
            <v>63040</v>
          </cell>
        </row>
        <row r="236">
          <cell r="A236" t="str">
            <v xml:space="preserve">P330314 </v>
          </cell>
          <cell r="B236" t="str">
            <v>P330314 - Parish of Chevington</v>
          </cell>
          <cell r="C236">
            <v>4989</v>
          </cell>
        </row>
        <row r="237">
          <cell r="A237" t="str">
            <v xml:space="preserve">P330316 </v>
          </cell>
          <cell r="B237" t="str">
            <v>P330316 - Parish of Denham St Mary</v>
          </cell>
          <cell r="C237">
            <v>500</v>
          </cell>
        </row>
        <row r="238">
          <cell r="A238" t="str">
            <v xml:space="preserve">P330320 </v>
          </cell>
          <cell r="B238" t="str">
            <v>P330320 - Parish of Great Barton</v>
          </cell>
          <cell r="C238">
            <v>13520</v>
          </cell>
        </row>
        <row r="239">
          <cell r="A239" t="str">
            <v xml:space="preserve">P330321 </v>
          </cell>
          <cell r="B239" t="str">
            <v>P330321 - Parish of Horringer</v>
          </cell>
          <cell r="C239">
            <v>9749</v>
          </cell>
        </row>
        <row r="240">
          <cell r="A240" t="str">
            <v xml:space="preserve">P330324 </v>
          </cell>
          <cell r="B240" t="str">
            <v>P330324 - Parish of Hargrave</v>
          </cell>
          <cell r="C240">
            <v>3000</v>
          </cell>
        </row>
        <row r="241">
          <cell r="A241" t="str">
            <v xml:space="preserve">P330326 </v>
          </cell>
          <cell r="B241" t="str">
            <v>P330326 - Parish of Ingham with Ampton &amp; Great &amp; Little Livermere</v>
          </cell>
          <cell r="C241">
            <v>9800</v>
          </cell>
        </row>
        <row r="242">
          <cell r="A242" t="str">
            <v xml:space="preserve">P330328 </v>
          </cell>
          <cell r="B242" t="str">
            <v>P330328 - Parish of Little Saxham</v>
          </cell>
          <cell r="C242">
            <v>700</v>
          </cell>
        </row>
        <row r="243">
          <cell r="A243" t="str">
            <v xml:space="preserve">P330329 </v>
          </cell>
          <cell r="B243" t="str">
            <v>P330329 - Parish of Nowton</v>
          </cell>
          <cell r="C243">
            <v>1500</v>
          </cell>
        </row>
        <row r="244">
          <cell r="A244" t="str">
            <v xml:space="preserve">P330330 </v>
          </cell>
          <cell r="B244" t="str">
            <v>P330330 - Parish of Risby</v>
          </cell>
          <cell r="C244">
            <v>6000</v>
          </cell>
        </row>
        <row r="245">
          <cell r="A245" t="str">
            <v xml:space="preserve">P330331 </v>
          </cell>
          <cell r="B245" t="str">
            <v>P330331 - Parish of Stanningfield</v>
          </cell>
          <cell r="C245">
            <v>2000</v>
          </cell>
        </row>
        <row r="246">
          <cell r="A246" t="str">
            <v xml:space="preserve">P330333 </v>
          </cell>
          <cell r="B246" t="str">
            <v>P330333 - Parish of Westley</v>
          </cell>
          <cell r="C246">
            <v>2477</v>
          </cell>
        </row>
        <row r="247">
          <cell r="A247" t="str">
            <v xml:space="preserve">P330335 </v>
          </cell>
          <cell r="B247" t="str">
            <v>P330335 - Parish of Whepstead</v>
          </cell>
          <cell r="C247">
            <v>6200</v>
          </cell>
        </row>
        <row r="248">
          <cell r="A248" t="str">
            <v xml:space="preserve">P330337 </v>
          </cell>
          <cell r="B248" t="str">
            <v>P330337 - Parish of Barsham with Shipmeadow</v>
          </cell>
          <cell r="C248">
            <v>6000</v>
          </cell>
        </row>
        <row r="249">
          <cell r="A249" t="str">
            <v xml:space="preserve">P330338 </v>
          </cell>
          <cell r="B249" t="str">
            <v>P330338 - Parish of Beccles</v>
          </cell>
          <cell r="C249">
            <v>25000</v>
          </cell>
        </row>
        <row r="250">
          <cell r="A250" t="str">
            <v xml:space="preserve">P330340 </v>
          </cell>
          <cell r="B250" t="str">
            <v>P330340 - Parish of Bungay</v>
          </cell>
          <cell r="C250">
            <v>2500</v>
          </cell>
        </row>
        <row r="251">
          <cell r="A251" t="str">
            <v xml:space="preserve">P330341 </v>
          </cell>
          <cell r="B251" t="str">
            <v>P330341 - Parish of Flixton</v>
          </cell>
          <cell r="C251">
            <v>500</v>
          </cell>
        </row>
        <row r="252">
          <cell r="A252" t="str">
            <v xml:space="preserve">P330345 </v>
          </cell>
          <cell r="B252" t="str">
            <v>P330345 - Parish of Ilketshall St John</v>
          </cell>
          <cell r="C252">
            <v>250</v>
          </cell>
        </row>
        <row r="253">
          <cell r="A253" t="str">
            <v xml:space="preserve">P330346 </v>
          </cell>
          <cell r="B253" t="str">
            <v>P330346 - Parish of Ilketshall St Lawrence</v>
          </cell>
          <cell r="C253">
            <v>500</v>
          </cell>
        </row>
        <row r="254">
          <cell r="A254" t="str">
            <v xml:space="preserve">P330347 </v>
          </cell>
          <cell r="B254" t="str">
            <v>P330347 - Parish of Ilketshall St Margaret</v>
          </cell>
          <cell r="C254">
            <v>1513</v>
          </cell>
        </row>
        <row r="255">
          <cell r="A255" t="str">
            <v xml:space="preserve">P330350 </v>
          </cell>
          <cell r="B255" t="str">
            <v>P330350 - Parish of Ringsfield</v>
          </cell>
          <cell r="C255">
            <v>1800</v>
          </cell>
        </row>
        <row r="256">
          <cell r="A256" t="str">
            <v xml:space="preserve">P330352 </v>
          </cell>
          <cell r="B256" t="str">
            <v>P330352 - Parish of Shadingfield</v>
          </cell>
          <cell r="C256">
            <v>2330</v>
          </cell>
        </row>
        <row r="257">
          <cell r="A257" t="str">
            <v xml:space="preserve">P330365 </v>
          </cell>
          <cell r="B257" t="str">
            <v>P330365 - Parish of Bramfield</v>
          </cell>
          <cell r="C257">
            <v>5000</v>
          </cell>
        </row>
        <row r="258">
          <cell r="A258" t="str">
            <v xml:space="preserve">P330366 </v>
          </cell>
          <cell r="B258" t="str">
            <v>P330366 - Parish of Brampton</v>
          </cell>
          <cell r="C258">
            <v>800</v>
          </cell>
        </row>
        <row r="259">
          <cell r="A259" t="str">
            <v xml:space="preserve">P330370 </v>
          </cell>
          <cell r="B259" t="str">
            <v>P330370 - Parish of Cratfield</v>
          </cell>
          <cell r="C259">
            <v>1200</v>
          </cell>
        </row>
        <row r="260">
          <cell r="A260" t="str">
            <v xml:space="preserve">P330371 </v>
          </cell>
          <cell r="B260" t="str">
            <v>P330371 - Parish of Frostenden</v>
          </cell>
          <cell r="C260">
            <v>1224</v>
          </cell>
        </row>
        <row r="261">
          <cell r="A261" t="str">
            <v xml:space="preserve">P330372 </v>
          </cell>
          <cell r="B261" t="str">
            <v>P330372 - Parish of Halesworth</v>
          </cell>
          <cell r="C261">
            <v>2000</v>
          </cell>
        </row>
        <row r="262">
          <cell r="A262" t="str">
            <v xml:space="preserve">P330374 </v>
          </cell>
          <cell r="B262" t="str">
            <v>P330374 - Parish of Holton St Peter</v>
          </cell>
          <cell r="C262">
            <v>5484</v>
          </cell>
        </row>
        <row r="263">
          <cell r="A263" t="str">
            <v xml:space="preserve">P330377 </v>
          </cell>
          <cell r="B263" t="str">
            <v>P330377 - Parish of Reydon</v>
          </cell>
          <cell r="C263">
            <v>7573</v>
          </cell>
        </row>
        <row r="264">
          <cell r="A264" t="str">
            <v xml:space="preserve">P330378 </v>
          </cell>
          <cell r="B264" t="str">
            <v>P330378 - Parish of Sotherton</v>
          </cell>
          <cell r="C264">
            <v>261</v>
          </cell>
        </row>
        <row r="265">
          <cell r="A265" t="str">
            <v xml:space="preserve">P330379 </v>
          </cell>
          <cell r="B265" t="str">
            <v>P330379 - Parish of South Cove</v>
          </cell>
          <cell r="C265">
            <v>2600</v>
          </cell>
        </row>
        <row r="266">
          <cell r="A266" t="str">
            <v xml:space="preserve">P330380 </v>
          </cell>
          <cell r="B266" t="str">
            <v>P330380 - Parish of Southwold</v>
          </cell>
          <cell r="C266">
            <v>30000</v>
          </cell>
        </row>
        <row r="267">
          <cell r="A267" t="str">
            <v xml:space="preserve">P330381 </v>
          </cell>
          <cell r="B267" t="str">
            <v>P330381 - Parish of Spexhall</v>
          </cell>
          <cell r="C267">
            <v>1572</v>
          </cell>
        </row>
        <row r="268">
          <cell r="A268" t="str">
            <v xml:space="preserve">P330383 </v>
          </cell>
          <cell r="B268" t="str">
            <v>P330383 - Parish of Thorington</v>
          </cell>
          <cell r="C268">
            <v>741</v>
          </cell>
        </row>
        <row r="269">
          <cell r="A269" t="str">
            <v xml:space="preserve">P330384 </v>
          </cell>
          <cell r="B269" t="str">
            <v>P330384 - Parish of Uggeshall</v>
          </cell>
          <cell r="C269">
            <v>5000</v>
          </cell>
        </row>
        <row r="270">
          <cell r="A270" t="str">
            <v xml:space="preserve">P330385 </v>
          </cell>
          <cell r="B270" t="str">
            <v>P330385 - Parish of Walberswick</v>
          </cell>
          <cell r="C270">
            <v>4000</v>
          </cell>
        </row>
        <row r="271">
          <cell r="A271" t="str">
            <v xml:space="preserve">P330387 </v>
          </cell>
          <cell r="B271" t="str">
            <v>P330387 - Parish of Wangford</v>
          </cell>
          <cell r="C271">
            <v>1787</v>
          </cell>
        </row>
        <row r="272">
          <cell r="A272" t="str">
            <v xml:space="preserve">P330388 </v>
          </cell>
          <cell r="B272" t="str">
            <v>P330388 - Parish of Wenhaston</v>
          </cell>
          <cell r="C272">
            <v>3000</v>
          </cell>
        </row>
        <row r="273">
          <cell r="A273" t="str">
            <v xml:space="preserve">P330390 </v>
          </cell>
          <cell r="B273" t="str">
            <v>P330390 - Parish of Wissett</v>
          </cell>
          <cell r="C273">
            <v>5920</v>
          </cell>
        </row>
        <row r="274">
          <cell r="A274" t="str">
            <v xml:space="preserve">P330392 </v>
          </cell>
          <cell r="B274" t="str">
            <v>P330392 - Parish of Bedingfield</v>
          </cell>
          <cell r="C274">
            <v>800</v>
          </cell>
        </row>
        <row r="275">
          <cell r="A275" t="str">
            <v xml:space="preserve">P330395 </v>
          </cell>
          <cell r="B275" t="str">
            <v>P330395 - Parish of Burgate</v>
          </cell>
          <cell r="C275">
            <v>1401</v>
          </cell>
        </row>
        <row r="276">
          <cell r="A276" t="str">
            <v xml:space="preserve">P330396 </v>
          </cell>
          <cell r="B276" t="str">
            <v>P330396 - Parish of Eye with Braiseworth</v>
          </cell>
          <cell r="C276">
            <v>5200</v>
          </cell>
        </row>
        <row r="277">
          <cell r="A277" t="str">
            <v xml:space="preserve">P330397 </v>
          </cell>
          <cell r="B277" t="str">
            <v>P330397 - Parish of Gislingham</v>
          </cell>
          <cell r="C277">
            <v>3300</v>
          </cell>
        </row>
        <row r="278">
          <cell r="A278" t="str">
            <v xml:space="preserve">P330398 </v>
          </cell>
          <cell r="B278" t="str">
            <v>P330398 - Parish of Mellis</v>
          </cell>
          <cell r="C278">
            <v>983</v>
          </cell>
        </row>
        <row r="279">
          <cell r="A279" t="str">
            <v xml:space="preserve">P330399 </v>
          </cell>
          <cell r="B279" t="str">
            <v>P330399 - Parish of Occold</v>
          </cell>
          <cell r="C279">
            <v>3000</v>
          </cell>
        </row>
        <row r="280">
          <cell r="A280" t="str">
            <v xml:space="preserve">P330400 </v>
          </cell>
          <cell r="B280" t="str">
            <v>P330400 - Parish of Palgrave</v>
          </cell>
          <cell r="C280">
            <v>5176</v>
          </cell>
        </row>
        <row r="281">
          <cell r="A281" t="str">
            <v xml:space="preserve">P330401 </v>
          </cell>
          <cell r="B281" t="str">
            <v>P330401 - Parish of Redgrave cum Botesdale with the Rickinghalls</v>
          </cell>
          <cell r="C281">
            <v>10000</v>
          </cell>
        </row>
        <row r="282">
          <cell r="A282" t="str">
            <v xml:space="preserve">P330403 </v>
          </cell>
          <cell r="B282" t="str">
            <v>P330403 - Parish of Redlingfield</v>
          </cell>
          <cell r="C282">
            <v>1346</v>
          </cell>
        </row>
        <row r="283">
          <cell r="A283" t="str">
            <v xml:space="preserve">P330405 </v>
          </cell>
          <cell r="B283" t="str">
            <v>P330405 - Parish of Stuston</v>
          </cell>
          <cell r="C283">
            <v>1000</v>
          </cell>
        </row>
        <row r="284">
          <cell r="A284" t="str">
            <v xml:space="preserve">P330406 </v>
          </cell>
          <cell r="B284" t="str">
            <v>P330406 - Parish of Thorndon with Rishangles</v>
          </cell>
          <cell r="C284">
            <v>3200</v>
          </cell>
        </row>
        <row r="285">
          <cell r="A285" t="str">
            <v xml:space="preserve">P330407 </v>
          </cell>
          <cell r="B285" t="str">
            <v>P330407 - Parish of Thornham Magna</v>
          </cell>
          <cell r="C285">
            <v>600</v>
          </cell>
        </row>
        <row r="286">
          <cell r="A286" t="str">
            <v xml:space="preserve">P330408 </v>
          </cell>
          <cell r="B286" t="str">
            <v>P330408 - Parish of Thornham Parva</v>
          </cell>
          <cell r="C286">
            <v>1500</v>
          </cell>
        </row>
        <row r="287">
          <cell r="A287" t="str">
            <v xml:space="preserve">P330410 </v>
          </cell>
          <cell r="B287" t="str">
            <v>P330410 - Parish of Wortham</v>
          </cell>
          <cell r="C287">
            <v>8151</v>
          </cell>
        </row>
        <row r="288">
          <cell r="A288" t="str">
            <v xml:space="preserve">P330411 </v>
          </cell>
          <cell r="B288" t="str">
            <v>P330411 - Parish of Yaxley</v>
          </cell>
          <cell r="C288">
            <v>737</v>
          </cell>
        </row>
        <row r="289">
          <cell r="A289" t="str">
            <v xml:space="preserve">P330412 </v>
          </cell>
          <cell r="B289" t="str">
            <v>P330412 - Parish of Athelington</v>
          </cell>
          <cell r="C289">
            <v>315</v>
          </cell>
        </row>
        <row r="290">
          <cell r="A290" t="str">
            <v xml:space="preserve">P330413 </v>
          </cell>
          <cell r="B290" t="str">
            <v>P330413 - Parish of Bedfield</v>
          </cell>
          <cell r="C290">
            <v>2425</v>
          </cell>
        </row>
        <row r="291">
          <cell r="A291" t="str">
            <v xml:space="preserve">P330416 </v>
          </cell>
          <cell r="B291" t="str">
            <v>P330416 - Parish of Fressingfield</v>
          </cell>
          <cell r="C291">
            <v>8519</v>
          </cell>
        </row>
        <row r="292">
          <cell r="A292" t="str">
            <v xml:space="preserve">P330418 </v>
          </cell>
          <cell r="B292" t="str">
            <v>P330418 - Parish of Hoxne</v>
          </cell>
          <cell r="C292">
            <v>4500</v>
          </cell>
        </row>
        <row r="293">
          <cell r="A293" t="str">
            <v xml:space="preserve">P330419 </v>
          </cell>
          <cell r="B293" t="str">
            <v>P330419 - Parish of Laxfield</v>
          </cell>
          <cell r="C293">
            <v>3000</v>
          </cell>
        </row>
        <row r="294">
          <cell r="A294" t="str">
            <v xml:space="preserve">P330420 </v>
          </cell>
          <cell r="B294" t="str">
            <v>P330420 - Parish of Mendham</v>
          </cell>
          <cell r="C294">
            <v>10142</v>
          </cell>
        </row>
        <row r="295">
          <cell r="A295" t="str">
            <v xml:space="preserve">P330421 </v>
          </cell>
          <cell r="B295" t="str">
            <v>P330421 - Parish of Metfield</v>
          </cell>
          <cell r="C295">
            <v>2500</v>
          </cell>
        </row>
        <row r="296">
          <cell r="A296" t="str">
            <v xml:space="preserve">P330422 </v>
          </cell>
          <cell r="B296" t="str">
            <v>P330422 - Parish of Monk Soham</v>
          </cell>
          <cell r="C296">
            <v>1500</v>
          </cell>
        </row>
        <row r="297">
          <cell r="A297" t="str">
            <v xml:space="preserve">P330423 </v>
          </cell>
          <cell r="B297" t="str">
            <v>P330423 - Parish of Stradbroke</v>
          </cell>
          <cell r="C297">
            <v>1000</v>
          </cell>
        </row>
        <row r="298">
          <cell r="A298" t="str">
            <v xml:space="preserve">P330424 </v>
          </cell>
          <cell r="B298" t="str">
            <v>P330424 - Parish of Syleham</v>
          </cell>
          <cell r="C298">
            <v>1892</v>
          </cell>
        </row>
        <row r="299">
          <cell r="A299" t="str">
            <v xml:space="preserve">P330425 </v>
          </cell>
          <cell r="B299" t="str">
            <v>P330425 - Parish of Tannington</v>
          </cell>
          <cell r="C299">
            <v>1300</v>
          </cell>
        </row>
        <row r="300">
          <cell r="A300" t="str">
            <v xml:space="preserve">P330426 </v>
          </cell>
          <cell r="B300" t="str">
            <v>P330426 - Parish of Weybread</v>
          </cell>
          <cell r="C300">
            <v>845</v>
          </cell>
        </row>
        <row r="301">
          <cell r="A301" t="str">
            <v xml:space="preserve">P330427 </v>
          </cell>
          <cell r="B301" t="str">
            <v>P330427 - Parish of Wilby</v>
          </cell>
          <cell r="C301">
            <v>2426</v>
          </cell>
        </row>
        <row r="302">
          <cell r="A302" t="str">
            <v xml:space="preserve">P330428 </v>
          </cell>
          <cell r="B302" t="str">
            <v>P330428 - Parish of Wingfield</v>
          </cell>
          <cell r="C302">
            <v>5000</v>
          </cell>
        </row>
        <row r="303">
          <cell r="A303" t="str">
            <v xml:space="preserve">P330429 </v>
          </cell>
          <cell r="B303" t="str">
            <v>P330429 - Parish of Withersdale</v>
          </cell>
          <cell r="C303">
            <v>947</v>
          </cell>
        </row>
        <row r="304">
          <cell r="A304" t="str">
            <v xml:space="preserve">P330430 </v>
          </cell>
          <cell r="B304" t="str">
            <v>P330430 - Parish of Worlingworth with Southolt</v>
          </cell>
          <cell r="C304">
            <v>2100</v>
          </cell>
        </row>
        <row r="305">
          <cell r="A305" t="str">
            <v xml:space="preserve">P330431 </v>
          </cell>
          <cell r="B305" t="str">
            <v>P330431 - Parish of Ashfield cum Thorpe</v>
          </cell>
          <cell r="C305">
            <v>400</v>
          </cell>
        </row>
        <row r="306">
          <cell r="A306" t="str">
            <v xml:space="preserve">P330432 </v>
          </cell>
          <cell r="B306" t="str">
            <v>P330432 - Parish of Aspall</v>
          </cell>
          <cell r="C306">
            <v>750</v>
          </cell>
        </row>
        <row r="307">
          <cell r="A307" t="str">
            <v xml:space="preserve">P330433 </v>
          </cell>
          <cell r="B307" t="str">
            <v>P330433 - Parish of Badingham</v>
          </cell>
          <cell r="C307">
            <v>1000</v>
          </cell>
        </row>
        <row r="308">
          <cell r="A308" t="str">
            <v xml:space="preserve">P330434 </v>
          </cell>
          <cell r="B308" t="str">
            <v>P330434 - Parish of Bruisyard</v>
          </cell>
          <cell r="C308">
            <v>2069</v>
          </cell>
        </row>
        <row r="309">
          <cell r="A309" t="str">
            <v xml:space="preserve">P330435 </v>
          </cell>
          <cell r="B309" t="str">
            <v>P330435 - Parish of Brandeston</v>
          </cell>
          <cell r="C309">
            <v>5000</v>
          </cell>
        </row>
        <row r="310">
          <cell r="A310" t="str">
            <v xml:space="preserve">P330436 </v>
          </cell>
          <cell r="B310" t="str">
            <v>P330436 - Parish of Campsea Ashe</v>
          </cell>
          <cell r="C310">
            <v>1470</v>
          </cell>
        </row>
        <row r="311">
          <cell r="A311" t="str">
            <v xml:space="preserve">P330437 </v>
          </cell>
          <cell r="B311" t="str">
            <v>P330437 - Charsfield with Debach</v>
          </cell>
          <cell r="C311">
            <v>2000</v>
          </cell>
        </row>
        <row r="312">
          <cell r="A312" t="str">
            <v xml:space="preserve">P330438 </v>
          </cell>
          <cell r="B312" t="str">
            <v>P330438 - Parish of Cransford</v>
          </cell>
          <cell r="C312">
            <v>1910</v>
          </cell>
        </row>
        <row r="313">
          <cell r="A313" t="str">
            <v xml:space="preserve">P330439 </v>
          </cell>
          <cell r="B313" t="str">
            <v>P330439 - Parish of Cretingham</v>
          </cell>
          <cell r="C313">
            <v>3196</v>
          </cell>
        </row>
        <row r="314">
          <cell r="A314" t="str">
            <v xml:space="preserve">P330440 </v>
          </cell>
          <cell r="B314" t="str">
            <v>P330440 - Parish of Dallinghoo</v>
          </cell>
          <cell r="C314">
            <v>1500</v>
          </cell>
        </row>
        <row r="315">
          <cell r="A315" t="str">
            <v xml:space="preserve">P330441 </v>
          </cell>
          <cell r="B315" t="str">
            <v>P330441 - Parish of Debenham</v>
          </cell>
          <cell r="C315">
            <v>10707</v>
          </cell>
        </row>
        <row r="316">
          <cell r="A316" t="str">
            <v xml:space="preserve">P330442 </v>
          </cell>
          <cell r="B316" t="str">
            <v>P330442 - Parish of Dennington</v>
          </cell>
          <cell r="C316">
            <v>2000</v>
          </cell>
        </row>
        <row r="317">
          <cell r="A317" t="str">
            <v xml:space="preserve">P330443 </v>
          </cell>
          <cell r="B317" t="str">
            <v>P330443 - Parish of Earl Soham</v>
          </cell>
          <cell r="C317">
            <v>4680</v>
          </cell>
        </row>
        <row r="318">
          <cell r="A318" t="str">
            <v xml:space="preserve">P330444 </v>
          </cell>
          <cell r="B318" t="str">
            <v>P330444 - Parish of Easton</v>
          </cell>
          <cell r="C318">
            <v>2005</v>
          </cell>
        </row>
        <row r="319">
          <cell r="A319" t="str">
            <v xml:space="preserve">P330445 </v>
          </cell>
          <cell r="B319" t="str">
            <v>P330445 - Parish of Framlingham</v>
          </cell>
          <cell r="C319">
            <v>17716</v>
          </cell>
        </row>
        <row r="320">
          <cell r="A320" t="str">
            <v xml:space="preserve">P330446 </v>
          </cell>
          <cell r="B320" t="str">
            <v>P330446 - Parish of Framsden</v>
          </cell>
          <cell r="C320">
            <v>2000</v>
          </cell>
        </row>
        <row r="321">
          <cell r="A321" t="str">
            <v xml:space="preserve">P330447 </v>
          </cell>
          <cell r="B321" t="str">
            <v>P330447 - Parish of Hacheston</v>
          </cell>
          <cell r="C321">
            <v>3000</v>
          </cell>
        </row>
        <row r="322">
          <cell r="A322" t="str">
            <v xml:space="preserve">P330448 </v>
          </cell>
          <cell r="B322" t="str">
            <v>P330448 - Parish of Helmingham</v>
          </cell>
          <cell r="C322">
            <v>600</v>
          </cell>
        </row>
        <row r="323">
          <cell r="A323" t="str">
            <v xml:space="preserve">P330449 </v>
          </cell>
          <cell r="B323" t="str">
            <v>P330449 - Parish of Hoo</v>
          </cell>
          <cell r="C323">
            <v>4000</v>
          </cell>
        </row>
        <row r="324">
          <cell r="A324" t="str">
            <v xml:space="preserve">P330450 </v>
          </cell>
          <cell r="B324" t="str">
            <v>P330450 - Parish of Kenton</v>
          </cell>
          <cell r="C324">
            <v>1000</v>
          </cell>
        </row>
        <row r="325">
          <cell r="A325" t="str">
            <v xml:space="preserve">P330451 </v>
          </cell>
          <cell r="B325" t="str">
            <v>P330451 - Parish of Kettleburgh</v>
          </cell>
          <cell r="C325">
            <v>5000</v>
          </cell>
        </row>
        <row r="326">
          <cell r="A326" t="str">
            <v xml:space="preserve">P330453 </v>
          </cell>
          <cell r="B326" t="str">
            <v>P330453 - Parish of Marlesford</v>
          </cell>
          <cell r="C326">
            <v>2500</v>
          </cell>
        </row>
        <row r="327">
          <cell r="A327" t="str">
            <v xml:space="preserve">P330454 </v>
          </cell>
          <cell r="B327" t="str">
            <v>P330454 - Parish of Monewden</v>
          </cell>
          <cell r="C327">
            <v>2615</v>
          </cell>
        </row>
        <row r="328">
          <cell r="A328" t="str">
            <v xml:space="preserve">P330455 </v>
          </cell>
          <cell r="B328" t="str">
            <v>P330455 - Parish of Parham</v>
          </cell>
          <cell r="C328">
            <v>4410</v>
          </cell>
        </row>
        <row r="329">
          <cell r="A329" t="str">
            <v xml:space="preserve">P330456 </v>
          </cell>
          <cell r="B329" t="str">
            <v>P330456 - Parish of Pettaugh</v>
          </cell>
          <cell r="C329">
            <v>2700</v>
          </cell>
        </row>
        <row r="330">
          <cell r="A330" t="str">
            <v xml:space="preserve">P330457 </v>
          </cell>
          <cell r="B330" t="str">
            <v>P330457 - Parish of Pettistree</v>
          </cell>
          <cell r="C330">
            <v>5200</v>
          </cell>
        </row>
        <row r="331">
          <cell r="A331" t="str">
            <v xml:space="preserve">P330458 </v>
          </cell>
          <cell r="B331" t="str">
            <v>P330458 - Parish of Saxtead</v>
          </cell>
          <cell r="C331">
            <v>2323</v>
          </cell>
        </row>
        <row r="332">
          <cell r="A332" t="str">
            <v xml:space="preserve">P330459 </v>
          </cell>
          <cell r="B332" t="str">
            <v>P330459 - Parish of Wickham Market</v>
          </cell>
          <cell r="C332">
            <v>17500</v>
          </cell>
        </row>
        <row r="333">
          <cell r="A333" t="str">
            <v xml:space="preserve">P330460 </v>
          </cell>
          <cell r="B333" t="str">
            <v>P330460 - Parish of Winston</v>
          </cell>
          <cell r="C333">
            <v>1600</v>
          </cell>
        </row>
        <row r="334">
          <cell r="A334" t="str">
            <v xml:space="preserve">P330461 </v>
          </cell>
          <cell r="B334" t="str">
            <v>P330461 - Parish of Aldeburgh</v>
          </cell>
          <cell r="C334">
            <v>17500</v>
          </cell>
        </row>
        <row r="335">
          <cell r="A335" t="str">
            <v xml:space="preserve">P330462 </v>
          </cell>
          <cell r="B335" t="str">
            <v>P330462 - Parish of Aldringham with Thorpe</v>
          </cell>
          <cell r="C335">
            <v>10000</v>
          </cell>
        </row>
        <row r="336">
          <cell r="A336" t="str">
            <v xml:space="preserve">P330463 </v>
          </cell>
          <cell r="B336" t="str">
            <v>P330463 - Parish of Benhall</v>
          </cell>
          <cell r="C336">
            <v>5438</v>
          </cell>
        </row>
        <row r="337">
          <cell r="A337" t="str">
            <v xml:space="preserve">P330464 </v>
          </cell>
          <cell r="B337" t="str">
            <v>P330464 - Parish of Blaxhall</v>
          </cell>
          <cell r="C337">
            <v>8373</v>
          </cell>
        </row>
        <row r="338">
          <cell r="A338" t="str">
            <v xml:space="preserve">P330465 </v>
          </cell>
          <cell r="B338" t="str">
            <v>P330465 - Parish of Darsham</v>
          </cell>
          <cell r="C338">
            <v>1189</v>
          </cell>
        </row>
        <row r="339">
          <cell r="A339" t="str">
            <v xml:space="preserve">P330466 </v>
          </cell>
          <cell r="B339" t="str">
            <v>P330466 - Parish of Dunwich</v>
          </cell>
          <cell r="C339">
            <v>8000</v>
          </cell>
        </row>
        <row r="340">
          <cell r="A340" t="str">
            <v xml:space="preserve">P330467 </v>
          </cell>
          <cell r="B340" t="str">
            <v>P330467 - Parish of Farnham &amp; Stratford St Andrew</v>
          </cell>
          <cell r="C340">
            <v>2494</v>
          </cell>
        </row>
        <row r="341">
          <cell r="A341" t="str">
            <v xml:space="preserve">P330468 </v>
          </cell>
          <cell r="B341" t="str">
            <v>P330468 - Parish of Friston</v>
          </cell>
          <cell r="C341">
            <v>3000</v>
          </cell>
        </row>
        <row r="342">
          <cell r="A342" t="str">
            <v xml:space="preserve">P330469 </v>
          </cell>
          <cell r="B342" t="str">
            <v>P330469 - Parish of Great Glemham</v>
          </cell>
          <cell r="C342">
            <v>3000</v>
          </cell>
        </row>
        <row r="343">
          <cell r="A343" t="str">
            <v xml:space="preserve">P330470 </v>
          </cell>
          <cell r="B343" t="str">
            <v>P330470 - Parish of Kelsale cum Carlton</v>
          </cell>
          <cell r="C343">
            <v>5000</v>
          </cell>
        </row>
        <row r="344">
          <cell r="A344" t="str">
            <v xml:space="preserve">P330472 </v>
          </cell>
          <cell r="B344" t="str">
            <v>P330472 - Parish of Knodishall</v>
          </cell>
          <cell r="C344">
            <v>9075</v>
          </cell>
        </row>
        <row r="345">
          <cell r="A345" t="str">
            <v xml:space="preserve">P330473 </v>
          </cell>
          <cell r="B345" t="str">
            <v>P330473 - Parish of Leiston</v>
          </cell>
          <cell r="C345">
            <v>10000</v>
          </cell>
        </row>
        <row r="346">
          <cell r="A346" t="str">
            <v xml:space="preserve">P330474 </v>
          </cell>
          <cell r="B346" t="str">
            <v>P330474 - Parish of Little Glemham</v>
          </cell>
          <cell r="C346">
            <v>1500</v>
          </cell>
        </row>
        <row r="347">
          <cell r="A347" t="str">
            <v xml:space="preserve">P330475 </v>
          </cell>
          <cell r="B347" t="str">
            <v>P330475 - Parish of Middleton cum Fordley</v>
          </cell>
          <cell r="C347">
            <v>2134</v>
          </cell>
        </row>
        <row r="348">
          <cell r="A348" t="str">
            <v xml:space="preserve">P330476 </v>
          </cell>
          <cell r="B348" t="str">
            <v>P330476 - Parish of Peasenhall</v>
          </cell>
          <cell r="C348">
            <v>2500</v>
          </cell>
        </row>
        <row r="349">
          <cell r="A349" t="str">
            <v xml:space="preserve">P330477 </v>
          </cell>
          <cell r="B349" t="str">
            <v>P330477 - Parish of Rendham</v>
          </cell>
          <cell r="C349">
            <v>849</v>
          </cell>
        </row>
        <row r="350">
          <cell r="A350" t="str">
            <v xml:space="preserve">P330478 </v>
          </cell>
          <cell r="B350" t="str">
            <v>P330478 - Parish of Saxmundham</v>
          </cell>
          <cell r="C350">
            <v>14812</v>
          </cell>
        </row>
        <row r="351">
          <cell r="A351" t="str">
            <v xml:space="preserve">P330480 </v>
          </cell>
          <cell r="B351" t="str">
            <v>P330480 - Parish of Snape</v>
          </cell>
          <cell r="C351">
            <v>6000</v>
          </cell>
        </row>
        <row r="352">
          <cell r="A352" t="str">
            <v xml:space="preserve">P330483 </v>
          </cell>
          <cell r="B352" t="str">
            <v>P330483 - Parish of Sweffling</v>
          </cell>
          <cell r="C352">
            <v>2229</v>
          </cell>
        </row>
        <row r="353">
          <cell r="A353" t="str">
            <v xml:space="preserve">P330484 </v>
          </cell>
          <cell r="B353" t="str">
            <v>P330484 - Parish of Theberton with Eastbridge</v>
          </cell>
          <cell r="C353">
            <v>8581</v>
          </cell>
        </row>
        <row r="354">
          <cell r="A354" t="str">
            <v xml:space="preserve">P330485 </v>
          </cell>
          <cell r="B354" t="str">
            <v>P330485 - Parish of Westleton</v>
          </cell>
          <cell r="C354">
            <v>4500</v>
          </cell>
        </row>
        <row r="355">
          <cell r="A355" t="str">
            <v xml:space="preserve">P330486 </v>
          </cell>
          <cell r="B355" t="str">
            <v>P330486 - Parish of Yoxford</v>
          </cell>
          <cell r="C355">
            <v>5000</v>
          </cell>
        </row>
        <row r="356">
          <cell r="A356" t="str">
            <v xml:space="preserve">P330491 </v>
          </cell>
          <cell r="B356" t="str">
            <v>P330491 - Parish of Melton</v>
          </cell>
          <cell r="C356">
            <v>15753</v>
          </cell>
        </row>
        <row r="357">
          <cell r="A357" t="str">
            <v xml:space="preserve">P330494 </v>
          </cell>
          <cell r="B357" t="str">
            <v>P330494 - Parish of Bury St Edmunds Christ Church</v>
          </cell>
          <cell r="C357">
            <v>9400</v>
          </cell>
        </row>
        <row r="358">
          <cell r="A358" t="str">
            <v xml:space="preserve">P330500 </v>
          </cell>
          <cell r="B358" t="str">
            <v>P330500 - Parish of Felixstowe Christchurch</v>
          </cell>
          <cell r="C358">
            <v>17612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>
        <row r="37">
          <cell r="B37">
            <v>7194483</v>
          </cell>
          <cell r="C37">
            <v>-446911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 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>
        <row r="37">
          <cell r="E37">
            <v>3446405</v>
          </cell>
        </row>
      </sheetData>
      <sheetData sheetId="1"/>
      <sheetData sheetId="2"/>
      <sheetData sheetId="3"/>
      <sheetData sheetId="4">
        <row r="8">
          <cell r="E8">
            <v>2700</v>
          </cell>
        </row>
      </sheetData>
      <sheetData sheetId="5">
        <row r="8">
          <cell r="E8">
            <v>7500</v>
          </cell>
        </row>
      </sheetData>
      <sheetData sheetId="6">
        <row r="8">
          <cell r="E8">
            <v>9025</v>
          </cell>
        </row>
      </sheetData>
      <sheetData sheetId="7">
        <row r="8">
          <cell r="E8">
            <v>2150</v>
          </cell>
        </row>
      </sheetData>
      <sheetData sheetId="8">
        <row r="8">
          <cell r="E8">
            <v>3310</v>
          </cell>
        </row>
      </sheetData>
      <sheetData sheetId="9">
        <row r="8">
          <cell r="E8">
            <v>9000</v>
          </cell>
        </row>
      </sheetData>
      <sheetData sheetId="10">
        <row r="8">
          <cell r="E8">
            <v>14700</v>
          </cell>
        </row>
      </sheetData>
      <sheetData sheetId="11">
        <row r="8">
          <cell r="E8">
            <v>11000</v>
          </cell>
        </row>
      </sheetData>
      <sheetData sheetId="12">
        <row r="8">
          <cell r="E8">
            <v>28200</v>
          </cell>
        </row>
      </sheetData>
      <sheetData sheetId="13">
        <row r="8">
          <cell r="E8">
            <v>31740</v>
          </cell>
        </row>
      </sheetData>
      <sheetData sheetId="14">
        <row r="8">
          <cell r="E8">
            <v>2400</v>
          </cell>
        </row>
      </sheetData>
      <sheetData sheetId="15">
        <row r="8">
          <cell r="E8">
            <v>625</v>
          </cell>
        </row>
      </sheetData>
      <sheetData sheetId="16">
        <row r="8">
          <cell r="E8">
            <v>4200</v>
          </cell>
        </row>
      </sheetData>
      <sheetData sheetId="17">
        <row r="8">
          <cell r="E8">
            <v>37716</v>
          </cell>
        </row>
      </sheetData>
      <sheetData sheetId="18">
        <row r="8">
          <cell r="E8">
            <v>5600</v>
          </cell>
        </row>
      </sheetData>
      <sheetData sheetId="19">
        <row r="8">
          <cell r="E8">
            <v>7888</v>
          </cell>
        </row>
      </sheetData>
      <sheetData sheetId="20">
        <row r="8">
          <cell r="E8">
            <v>39000</v>
          </cell>
        </row>
      </sheetData>
      <sheetData sheetId="21">
        <row r="8">
          <cell r="E8">
            <v>1515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and Blyth"/>
      <sheetName val="Woodbridge"/>
    </sheetNames>
    <sheetDataSet>
      <sheetData sheetId="0"/>
      <sheetData sheetId="1">
        <row r="8">
          <cell r="E8">
            <v>5000</v>
          </cell>
        </row>
        <row r="9">
          <cell r="E9">
            <v>15000</v>
          </cell>
        </row>
        <row r="10">
          <cell r="E10">
            <v>1000</v>
          </cell>
        </row>
        <row r="11">
          <cell r="E11">
            <v>5000</v>
          </cell>
        </row>
        <row r="12">
          <cell r="E12">
            <v>35190</v>
          </cell>
        </row>
        <row r="15">
          <cell r="E15">
            <v>38665</v>
          </cell>
        </row>
        <row r="16">
          <cell r="E16">
            <v>13232</v>
          </cell>
        </row>
        <row r="17">
          <cell r="E17">
            <v>19138</v>
          </cell>
        </row>
        <row r="20">
          <cell r="E20">
            <v>12469</v>
          </cell>
        </row>
        <row r="21">
          <cell r="E21">
            <v>12877</v>
          </cell>
        </row>
        <row r="22">
          <cell r="E22">
            <v>3383</v>
          </cell>
        </row>
        <row r="23">
          <cell r="E23">
            <v>3978</v>
          </cell>
        </row>
        <row r="24">
          <cell r="E24">
            <v>21255</v>
          </cell>
        </row>
        <row r="25">
          <cell r="E25">
            <v>4339</v>
          </cell>
        </row>
        <row r="26">
          <cell r="E26">
            <v>4701</v>
          </cell>
        </row>
        <row r="27">
          <cell r="E27">
            <v>9401</v>
          </cell>
        </row>
        <row r="30">
          <cell r="E30">
            <v>66850</v>
          </cell>
        </row>
        <row r="40">
          <cell r="E40">
            <v>57791</v>
          </cell>
        </row>
        <row r="46">
          <cell r="E46">
            <v>27180</v>
          </cell>
        </row>
      </sheetData>
      <sheetData sheetId="2">
        <row r="8">
          <cell r="E8">
            <v>61253</v>
          </cell>
        </row>
        <row r="9">
          <cell r="E9">
            <v>5000</v>
          </cell>
        </row>
        <row r="12">
          <cell r="E12">
            <v>1700</v>
          </cell>
        </row>
        <row r="13">
          <cell r="E13">
            <v>3800</v>
          </cell>
        </row>
        <row r="14">
          <cell r="E14">
            <v>5400</v>
          </cell>
        </row>
        <row r="15">
          <cell r="E15">
            <v>6200</v>
          </cell>
        </row>
        <row r="16">
          <cell r="E16">
            <v>20000</v>
          </cell>
        </row>
        <row r="17">
          <cell r="E17">
            <v>2400</v>
          </cell>
        </row>
        <row r="18">
          <cell r="E18">
            <v>3800</v>
          </cell>
        </row>
        <row r="19">
          <cell r="E19">
            <v>1700</v>
          </cell>
        </row>
        <row r="20">
          <cell r="E20">
            <v>11120</v>
          </cell>
        </row>
        <row r="23">
          <cell r="E23">
            <v>5625</v>
          </cell>
        </row>
        <row r="24">
          <cell r="E24">
            <v>5625</v>
          </cell>
        </row>
        <row r="25">
          <cell r="E25">
            <v>5250</v>
          </cell>
        </row>
        <row r="26">
          <cell r="E26">
            <v>7500</v>
          </cell>
        </row>
        <row r="27">
          <cell r="E27">
            <v>5250</v>
          </cell>
        </row>
        <row r="28">
          <cell r="E28">
            <v>4125</v>
          </cell>
        </row>
        <row r="29">
          <cell r="E29">
            <v>8625</v>
          </cell>
        </row>
        <row r="30">
          <cell r="E30">
            <v>13364</v>
          </cell>
        </row>
        <row r="33">
          <cell r="E33">
            <v>4620</v>
          </cell>
        </row>
        <row r="34">
          <cell r="E34">
            <v>15708</v>
          </cell>
        </row>
        <row r="35">
          <cell r="E35">
            <v>4620</v>
          </cell>
        </row>
        <row r="36">
          <cell r="E36">
            <v>5422</v>
          </cell>
        </row>
        <row r="37">
          <cell r="E37">
            <v>7668</v>
          </cell>
        </row>
        <row r="38">
          <cell r="E38">
            <v>4321</v>
          </cell>
        </row>
        <row r="41">
          <cell r="E41">
            <v>19047</v>
          </cell>
        </row>
        <row r="42">
          <cell r="E42">
            <v>32207</v>
          </cell>
        </row>
        <row r="43">
          <cell r="E43">
            <v>6234</v>
          </cell>
        </row>
        <row r="44">
          <cell r="E44">
            <v>8658</v>
          </cell>
        </row>
        <row r="45">
          <cell r="E45">
            <v>3117</v>
          </cell>
        </row>
        <row r="51">
          <cell r="E51">
            <v>-31084</v>
          </cell>
        </row>
      </sheetData>
      <sheetData sheetId="3">
        <row r="8">
          <cell r="E8">
            <v>19410</v>
          </cell>
        </row>
        <row r="9">
          <cell r="E9">
            <v>0</v>
          </cell>
        </row>
        <row r="10">
          <cell r="E10">
            <v>5949</v>
          </cell>
        </row>
        <row r="11">
          <cell r="E11">
            <v>6561</v>
          </cell>
        </row>
        <row r="12">
          <cell r="E12">
            <v>5949</v>
          </cell>
        </row>
        <row r="13">
          <cell r="E13">
            <v>9197</v>
          </cell>
        </row>
        <row r="16">
          <cell r="E16">
            <v>10210</v>
          </cell>
        </row>
        <row r="17">
          <cell r="E17">
            <v>14570</v>
          </cell>
        </row>
        <row r="18">
          <cell r="E18">
            <v>13410</v>
          </cell>
        </row>
        <row r="19">
          <cell r="E19">
            <v>22110</v>
          </cell>
        </row>
        <row r="22">
          <cell r="E22">
            <v>49807</v>
          </cell>
        </row>
        <row r="23">
          <cell r="E23">
            <v>11496</v>
          </cell>
        </row>
        <row r="24">
          <cell r="E24">
            <v>8031</v>
          </cell>
        </row>
        <row r="31">
          <cell r="E31">
            <v>40221</v>
          </cell>
        </row>
        <row r="33">
          <cell r="E33">
            <v>11700</v>
          </cell>
        </row>
        <row r="34">
          <cell r="E34">
            <v>20000</v>
          </cell>
        </row>
        <row r="35">
          <cell r="E35">
            <v>12400</v>
          </cell>
        </row>
        <row r="36">
          <cell r="E36">
            <v>20000</v>
          </cell>
        </row>
        <row r="37">
          <cell r="E37">
            <v>8000</v>
          </cell>
        </row>
        <row r="40">
          <cell r="E40">
            <v>10531</v>
          </cell>
        </row>
      </sheetData>
      <sheetData sheetId="4">
        <row r="8">
          <cell r="E8">
            <v>8750</v>
          </cell>
        </row>
        <row r="9">
          <cell r="E9">
            <v>8350</v>
          </cell>
        </row>
        <row r="10">
          <cell r="E10">
            <v>2600</v>
          </cell>
        </row>
        <row r="11">
          <cell r="E11">
            <v>28320</v>
          </cell>
        </row>
        <row r="12">
          <cell r="E12">
            <v>4700</v>
          </cell>
        </row>
        <row r="13">
          <cell r="E13">
            <v>6343</v>
          </cell>
        </row>
        <row r="14">
          <cell r="E14">
            <v>500</v>
          </cell>
        </row>
        <row r="17">
          <cell r="E17">
            <v>8300</v>
          </cell>
        </row>
        <row r="18">
          <cell r="E18">
            <v>11000</v>
          </cell>
        </row>
        <row r="19">
          <cell r="E19">
            <v>6000</v>
          </cell>
        </row>
        <row r="20">
          <cell r="E20">
            <v>2500</v>
          </cell>
        </row>
        <row r="21">
          <cell r="E21">
            <v>9500</v>
          </cell>
        </row>
        <row r="22">
          <cell r="E22">
            <v>11057</v>
          </cell>
        </row>
        <row r="23">
          <cell r="E23">
            <v>8000</v>
          </cell>
        </row>
        <row r="24">
          <cell r="E24">
            <v>3000</v>
          </cell>
        </row>
        <row r="28">
          <cell r="E28">
            <v>8015</v>
          </cell>
        </row>
        <row r="29">
          <cell r="E29">
            <v>2157</v>
          </cell>
        </row>
        <row r="30">
          <cell r="E30">
            <v>16026</v>
          </cell>
        </row>
        <row r="31">
          <cell r="E31">
            <v>21573</v>
          </cell>
        </row>
        <row r="32">
          <cell r="E32">
            <v>2773</v>
          </cell>
        </row>
        <row r="33">
          <cell r="E33">
            <v>11095</v>
          </cell>
        </row>
        <row r="36">
          <cell r="E36">
            <v>9122</v>
          </cell>
        </row>
        <row r="37">
          <cell r="E37">
            <v>6206</v>
          </cell>
        </row>
        <row r="38">
          <cell r="E38">
            <v>5747</v>
          </cell>
        </row>
        <row r="39">
          <cell r="E39">
            <v>5807</v>
          </cell>
        </row>
        <row r="40">
          <cell r="E40">
            <v>8181</v>
          </cell>
        </row>
        <row r="41">
          <cell r="E41">
            <v>4712</v>
          </cell>
        </row>
        <row r="42">
          <cell r="E42">
            <v>18816</v>
          </cell>
        </row>
        <row r="43">
          <cell r="E43">
            <v>3946</v>
          </cell>
        </row>
      </sheetData>
      <sheetData sheetId="5">
        <row r="8">
          <cell r="E8">
            <v>6951</v>
          </cell>
        </row>
        <row r="9">
          <cell r="E9">
            <v>13902</v>
          </cell>
        </row>
        <row r="10">
          <cell r="E10">
            <v>33364</v>
          </cell>
        </row>
        <row r="11">
          <cell r="E11">
            <v>10427</v>
          </cell>
        </row>
        <row r="12">
          <cell r="E12">
            <v>4865</v>
          </cell>
        </row>
        <row r="15">
          <cell r="E15">
            <v>70442</v>
          </cell>
        </row>
        <row r="17">
          <cell r="E17">
            <v>63434</v>
          </cell>
        </row>
        <row r="18">
          <cell r="E18">
            <v>7463</v>
          </cell>
        </row>
        <row r="21">
          <cell r="E21">
            <v>7624</v>
          </cell>
        </row>
        <row r="22">
          <cell r="E22">
            <v>7624</v>
          </cell>
        </row>
        <row r="23">
          <cell r="E23">
            <v>3812</v>
          </cell>
        </row>
        <row r="24">
          <cell r="E24">
            <v>4955</v>
          </cell>
        </row>
        <row r="25">
          <cell r="E25">
            <v>14103</v>
          </cell>
        </row>
        <row r="28">
          <cell r="E28">
            <v>9953</v>
          </cell>
        </row>
        <row r="29">
          <cell r="E29">
            <v>20570</v>
          </cell>
        </row>
        <row r="30">
          <cell r="E30">
            <v>23888</v>
          </cell>
        </row>
        <row r="31">
          <cell r="E31">
            <v>11943</v>
          </cell>
        </row>
        <row r="34">
          <cell r="E34">
            <v>40496</v>
          </cell>
        </row>
        <row r="35">
          <cell r="E35">
            <v>21000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57983</v>
          </cell>
        </row>
        <row r="48">
          <cell r="E48">
            <v>19956</v>
          </cell>
        </row>
        <row r="49">
          <cell r="E49">
            <v>48835</v>
          </cell>
        </row>
      </sheetData>
      <sheetData sheetId="6">
        <row r="8">
          <cell r="E8">
            <v>58927</v>
          </cell>
        </row>
        <row r="11">
          <cell r="E11">
            <v>1305</v>
          </cell>
        </row>
        <row r="12">
          <cell r="E12">
            <v>12900</v>
          </cell>
        </row>
        <row r="13">
          <cell r="E13">
            <v>5700</v>
          </cell>
        </row>
        <row r="14">
          <cell r="E14">
            <v>-55</v>
          </cell>
        </row>
        <row r="34">
          <cell r="G34">
            <v>155339</v>
          </cell>
        </row>
        <row r="36">
          <cell r="E36">
            <v>69307</v>
          </cell>
        </row>
        <row r="38">
          <cell r="E38">
            <v>12000</v>
          </cell>
        </row>
        <row r="39">
          <cell r="E39">
            <v>33233</v>
          </cell>
        </row>
        <row r="40">
          <cell r="E40">
            <v>20000</v>
          </cell>
        </row>
      </sheetData>
      <sheetData sheetId="7">
        <row r="8">
          <cell r="E8">
            <v>24043</v>
          </cell>
        </row>
        <row r="9">
          <cell r="E9">
            <v>10743</v>
          </cell>
        </row>
        <row r="10">
          <cell r="E10">
            <v>2729</v>
          </cell>
        </row>
        <row r="11">
          <cell r="E11">
            <v>14494</v>
          </cell>
        </row>
        <row r="12">
          <cell r="E12">
            <v>9038</v>
          </cell>
        </row>
        <row r="13">
          <cell r="E13">
            <v>7163</v>
          </cell>
        </row>
        <row r="16">
          <cell r="E16">
            <v>27541</v>
          </cell>
        </row>
        <row r="17">
          <cell r="E17">
            <v>7079</v>
          </cell>
        </row>
        <row r="18">
          <cell r="E18">
            <v>10506</v>
          </cell>
        </row>
        <row r="19">
          <cell r="E19">
            <v>9407</v>
          </cell>
        </row>
        <row r="20">
          <cell r="E20">
            <v>4456</v>
          </cell>
        </row>
        <row r="21">
          <cell r="E21">
            <v>7100</v>
          </cell>
        </row>
        <row r="22">
          <cell r="E22">
            <v>5337</v>
          </cell>
        </row>
        <row r="25">
          <cell r="E25">
            <v>27603</v>
          </cell>
        </row>
        <row r="26">
          <cell r="E26">
            <v>27603</v>
          </cell>
        </row>
        <row r="27">
          <cell r="E27">
            <v>13802</v>
          </cell>
        </row>
        <row r="30">
          <cell r="E30">
            <v>65930</v>
          </cell>
        </row>
        <row r="33">
          <cell r="E33">
            <v>73513</v>
          </cell>
        </row>
        <row r="35">
          <cell r="E35">
            <v>-3864</v>
          </cell>
        </row>
      </sheetData>
      <sheetData sheetId="8">
        <row r="8">
          <cell r="E8">
            <v>33780</v>
          </cell>
        </row>
        <row r="9">
          <cell r="E9">
            <v>33780</v>
          </cell>
        </row>
        <row r="12">
          <cell r="E12">
            <v>24000</v>
          </cell>
        </row>
        <row r="13">
          <cell r="E13">
            <v>9000</v>
          </cell>
        </row>
        <row r="14">
          <cell r="E14">
            <v>10000</v>
          </cell>
        </row>
        <row r="15">
          <cell r="E15">
            <v>7000</v>
          </cell>
        </row>
        <row r="16">
          <cell r="E16">
            <v>10000</v>
          </cell>
        </row>
        <row r="17">
          <cell r="E17">
            <v>9599</v>
          </cell>
        </row>
        <row r="20">
          <cell r="E20">
            <v>8300</v>
          </cell>
        </row>
        <row r="21">
          <cell r="E21">
            <v>56588</v>
          </cell>
        </row>
        <row r="22">
          <cell r="E22">
            <v>10563</v>
          </cell>
        </row>
        <row r="25">
          <cell r="E25">
            <v>31502</v>
          </cell>
        </row>
        <row r="26">
          <cell r="E26">
            <v>16290</v>
          </cell>
        </row>
        <row r="27">
          <cell r="E27">
            <v>4011</v>
          </cell>
        </row>
        <row r="28">
          <cell r="E28">
            <v>6998</v>
          </cell>
        </row>
        <row r="31">
          <cell r="E31">
            <v>49943</v>
          </cell>
        </row>
        <row r="34">
          <cell r="E34">
            <v>36813</v>
          </cell>
        </row>
        <row r="36">
          <cell r="E36">
            <v>47857</v>
          </cell>
        </row>
        <row r="38">
          <cell r="E38">
            <v>11478</v>
          </cell>
        </row>
        <row r="39">
          <cell r="E39">
            <v>58512</v>
          </cell>
        </row>
        <row r="46">
          <cell r="E46">
            <v>-18698</v>
          </cell>
        </row>
        <row r="47">
          <cell r="E47">
            <v>-21122</v>
          </cell>
        </row>
        <row r="48">
          <cell r="E48">
            <v>-16081</v>
          </cell>
        </row>
        <row r="49">
          <cell r="E49">
            <v>-2119</v>
          </cell>
        </row>
      </sheetData>
      <sheetData sheetId="9">
        <row r="8">
          <cell r="E8">
            <v>50000</v>
          </cell>
        </row>
        <row r="10">
          <cell r="E10">
            <v>153744</v>
          </cell>
        </row>
        <row r="12">
          <cell r="E12">
            <v>37776</v>
          </cell>
        </row>
        <row r="13">
          <cell r="E13">
            <v>37776</v>
          </cell>
        </row>
        <row r="16">
          <cell r="E16">
            <v>10518</v>
          </cell>
        </row>
        <row r="17">
          <cell r="E17">
            <v>30708</v>
          </cell>
        </row>
        <row r="18">
          <cell r="E18">
            <v>6502</v>
          </cell>
        </row>
        <row r="19">
          <cell r="E19">
            <v>12636</v>
          </cell>
        </row>
        <row r="22">
          <cell r="E22">
            <v>11000</v>
          </cell>
        </row>
        <row r="23">
          <cell r="E23">
            <v>2000</v>
          </cell>
        </row>
        <row r="24">
          <cell r="E24">
            <v>5510</v>
          </cell>
        </row>
        <row r="25">
          <cell r="E25">
            <v>1300</v>
          </cell>
        </row>
        <row r="26">
          <cell r="E26">
            <v>12000</v>
          </cell>
        </row>
        <row r="29">
          <cell r="E29">
            <v>49875</v>
          </cell>
        </row>
        <row r="30">
          <cell r="E30">
            <v>9500</v>
          </cell>
        </row>
        <row r="31">
          <cell r="E31">
            <v>46360</v>
          </cell>
        </row>
        <row r="39">
          <cell r="E39">
            <v>43870</v>
          </cell>
        </row>
        <row r="42">
          <cell r="E42">
            <v>19627</v>
          </cell>
        </row>
      </sheetData>
      <sheetData sheetId="10">
        <row r="8">
          <cell r="E8">
            <v>66902</v>
          </cell>
        </row>
        <row r="10">
          <cell r="E10">
            <v>74732</v>
          </cell>
        </row>
        <row r="13">
          <cell r="E13">
            <v>67542</v>
          </cell>
        </row>
        <row r="18">
          <cell r="E18">
            <v>8116</v>
          </cell>
        </row>
        <row r="19">
          <cell r="E19">
            <v>63483</v>
          </cell>
        </row>
        <row r="22">
          <cell r="E22">
            <v>55480</v>
          </cell>
        </row>
        <row r="24">
          <cell r="E24">
            <v>24485</v>
          </cell>
        </row>
        <row r="25">
          <cell r="E25">
            <v>45593</v>
          </cell>
        </row>
        <row r="28">
          <cell r="E28">
            <v>10410</v>
          </cell>
        </row>
        <row r="29">
          <cell r="E29">
            <v>7106</v>
          </cell>
        </row>
        <row r="30">
          <cell r="E30">
            <v>2701</v>
          </cell>
        </row>
        <row r="31">
          <cell r="E31">
            <v>19842</v>
          </cell>
        </row>
        <row r="32">
          <cell r="E32">
            <v>7447</v>
          </cell>
        </row>
        <row r="33">
          <cell r="E33">
            <v>13804</v>
          </cell>
        </row>
        <row r="34">
          <cell r="E34">
            <v>5282</v>
          </cell>
        </row>
        <row r="35">
          <cell r="E35">
            <v>8747</v>
          </cell>
        </row>
      </sheetData>
      <sheetData sheetId="11">
        <row r="8">
          <cell r="E8">
            <v>7704</v>
          </cell>
        </row>
        <row r="9">
          <cell r="E9">
            <v>48178</v>
          </cell>
        </row>
        <row r="10">
          <cell r="E10">
            <v>10413</v>
          </cell>
        </row>
        <row r="13">
          <cell r="E13">
            <v>12076</v>
          </cell>
        </row>
        <row r="14">
          <cell r="E14">
            <v>7246</v>
          </cell>
        </row>
        <row r="15">
          <cell r="E15">
            <v>16303</v>
          </cell>
        </row>
        <row r="16">
          <cell r="E16">
            <v>6038</v>
          </cell>
        </row>
        <row r="17">
          <cell r="E17">
            <v>5434</v>
          </cell>
        </row>
        <row r="18">
          <cell r="E18">
            <v>13284</v>
          </cell>
        </row>
        <row r="21">
          <cell r="E21">
            <v>63965</v>
          </cell>
        </row>
        <row r="23">
          <cell r="E23">
            <v>11497</v>
          </cell>
        </row>
        <row r="24">
          <cell r="E24">
            <v>7617</v>
          </cell>
        </row>
        <row r="25">
          <cell r="E25">
            <v>3941</v>
          </cell>
        </row>
        <row r="26">
          <cell r="E26">
            <v>11294</v>
          </cell>
        </row>
        <row r="27">
          <cell r="E27">
            <v>4371</v>
          </cell>
        </row>
        <row r="28">
          <cell r="E28">
            <v>6685</v>
          </cell>
        </row>
        <row r="29">
          <cell r="E29">
            <v>9129</v>
          </cell>
        </row>
        <row r="30">
          <cell r="E30">
            <v>4905</v>
          </cell>
        </row>
      </sheetData>
      <sheetData sheetId="12">
        <row r="8">
          <cell r="E8">
            <v>1302</v>
          </cell>
        </row>
        <row r="9">
          <cell r="E9">
            <v>5054</v>
          </cell>
        </row>
        <row r="10">
          <cell r="E10">
            <v>8922</v>
          </cell>
        </row>
        <row r="11">
          <cell r="E11">
            <v>23632</v>
          </cell>
        </row>
        <row r="12">
          <cell r="E12">
            <v>2438</v>
          </cell>
        </row>
        <row r="13">
          <cell r="E13">
            <v>5861</v>
          </cell>
        </row>
        <row r="14">
          <cell r="E14">
            <v>8449</v>
          </cell>
        </row>
        <row r="15">
          <cell r="E15">
            <v>8865</v>
          </cell>
        </row>
        <row r="18">
          <cell r="E18">
            <v>7403</v>
          </cell>
        </row>
        <row r="19">
          <cell r="E19">
            <v>5113</v>
          </cell>
        </row>
        <row r="20">
          <cell r="E20">
            <v>9044</v>
          </cell>
        </row>
        <row r="21">
          <cell r="E21">
            <v>20323</v>
          </cell>
        </row>
        <row r="22">
          <cell r="E22">
            <v>3452</v>
          </cell>
        </row>
        <row r="23">
          <cell r="E23">
            <v>2550</v>
          </cell>
        </row>
        <row r="24">
          <cell r="E24">
            <v>7636</v>
          </cell>
        </row>
        <row r="25">
          <cell r="E25">
            <v>12838</v>
          </cell>
        </row>
        <row r="28">
          <cell r="E28">
            <v>29700</v>
          </cell>
        </row>
        <row r="29">
          <cell r="E29">
            <v>10500</v>
          </cell>
        </row>
        <row r="30">
          <cell r="E30">
            <v>10500</v>
          </cell>
        </row>
        <row r="31">
          <cell r="E31">
            <v>10600</v>
          </cell>
        </row>
        <row r="32">
          <cell r="E32">
            <v>3600</v>
          </cell>
        </row>
        <row r="33">
          <cell r="E33">
            <v>5000</v>
          </cell>
        </row>
        <row r="34">
          <cell r="E34">
            <v>-72</v>
          </cell>
        </row>
      </sheetData>
      <sheetData sheetId="13">
        <row r="8">
          <cell r="E8">
            <v>18567</v>
          </cell>
        </row>
        <row r="11">
          <cell r="E11">
            <v>78666</v>
          </cell>
        </row>
        <row r="13">
          <cell r="E13">
            <v>82040</v>
          </cell>
        </row>
        <row r="15">
          <cell r="E15">
            <v>63233</v>
          </cell>
        </row>
        <row r="18">
          <cell r="E18">
            <v>3307</v>
          </cell>
        </row>
        <row r="19">
          <cell r="E19">
            <v>12543</v>
          </cell>
        </row>
        <row r="20">
          <cell r="E20">
            <v>20948</v>
          </cell>
        </row>
        <row r="23">
          <cell r="E23">
            <v>72892</v>
          </cell>
        </row>
        <row r="25">
          <cell r="E25">
            <v>59268</v>
          </cell>
        </row>
        <row r="27">
          <cell r="E27">
            <v>21000</v>
          </cell>
        </row>
        <row r="33">
          <cell r="E33">
            <v>127062</v>
          </cell>
        </row>
        <row r="35">
          <cell r="E35">
            <v>50759</v>
          </cell>
        </row>
        <row r="38">
          <cell r="E38">
            <v>68772</v>
          </cell>
        </row>
        <row r="40">
          <cell r="E40">
            <v>121070</v>
          </cell>
        </row>
        <row r="43">
          <cell r="E43">
            <v>27000</v>
          </cell>
        </row>
        <row r="48">
          <cell r="E48">
            <v>54748</v>
          </cell>
        </row>
        <row r="53">
          <cell r="E53">
            <v>-12913</v>
          </cell>
        </row>
        <row r="60">
          <cell r="E60">
            <v>-17759</v>
          </cell>
        </row>
      </sheetData>
      <sheetData sheetId="14">
        <row r="8">
          <cell r="E8">
            <v>62761</v>
          </cell>
        </row>
        <row r="9">
          <cell r="E9">
            <v>6973</v>
          </cell>
        </row>
        <row r="12">
          <cell r="E12">
            <v>14414</v>
          </cell>
        </row>
        <row r="13">
          <cell r="E13">
            <v>5145</v>
          </cell>
        </row>
        <row r="14">
          <cell r="E14">
            <v>9000</v>
          </cell>
        </row>
        <row r="15">
          <cell r="E15">
            <v>6714</v>
          </cell>
        </row>
        <row r="16">
          <cell r="E16">
            <v>9514</v>
          </cell>
        </row>
        <row r="17">
          <cell r="E17">
            <v>8800</v>
          </cell>
        </row>
        <row r="18">
          <cell r="E18">
            <v>6000</v>
          </cell>
        </row>
        <row r="20">
          <cell r="E20">
            <v>9888</v>
          </cell>
        </row>
        <row r="23">
          <cell r="E23">
            <v>3124</v>
          </cell>
        </row>
        <row r="24">
          <cell r="E24">
            <v>33737</v>
          </cell>
        </row>
        <row r="25">
          <cell r="E25">
            <v>4373</v>
          </cell>
        </row>
        <row r="26">
          <cell r="E26">
            <v>5311</v>
          </cell>
        </row>
        <row r="27">
          <cell r="E27">
            <v>5311</v>
          </cell>
        </row>
        <row r="28">
          <cell r="E28">
            <v>5311</v>
          </cell>
        </row>
        <row r="29">
          <cell r="E29">
            <v>5311</v>
          </cell>
        </row>
        <row r="32">
          <cell r="E32">
            <v>3000</v>
          </cell>
        </row>
        <row r="33">
          <cell r="E33">
            <v>4200</v>
          </cell>
        </row>
        <row r="34">
          <cell r="E34">
            <v>9585</v>
          </cell>
        </row>
        <row r="35">
          <cell r="E35">
            <v>4000</v>
          </cell>
        </row>
        <row r="36">
          <cell r="E36">
            <v>14790</v>
          </cell>
        </row>
        <row r="37">
          <cell r="E37">
            <v>6756</v>
          </cell>
        </row>
        <row r="38">
          <cell r="E38">
            <v>2200</v>
          </cell>
        </row>
        <row r="39">
          <cell r="E39">
            <v>8718</v>
          </cell>
        </row>
        <row r="40">
          <cell r="E40">
            <v>9885</v>
          </cell>
        </row>
        <row r="43">
          <cell r="E43">
            <v>3510</v>
          </cell>
        </row>
        <row r="44">
          <cell r="E44">
            <v>2173</v>
          </cell>
        </row>
        <row r="45">
          <cell r="E45">
            <v>2007</v>
          </cell>
        </row>
        <row r="46">
          <cell r="E46">
            <v>4011</v>
          </cell>
        </row>
        <row r="47">
          <cell r="E47">
            <v>2674</v>
          </cell>
        </row>
        <row r="48">
          <cell r="E48">
            <v>2340</v>
          </cell>
        </row>
        <row r="51">
          <cell r="E51">
            <v>15974</v>
          </cell>
        </row>
        <row r="52">
          <cell r="E52">
            <v>54614</v>
          </cell>
        </row>
      </sheetData>
      <sheetData sheetId="15">
        <row r="8">
          <cell r="E8">
            <v>18123</v>
          </cell>
        </row>
        <row r="9">
          <cell r="E9">
            <v>4320</v>
          </cell>
        </row>
        <row r="13">
          <cell r="E13">
            <v>26336</v>
          </cell>
        </row>
        <row r="14">
          <cell r="E14">
            <v>52671</v>
          </cell>
        </row>
        <row r="17">
          <cell r="E17">
            <v>6292</v>
          </cell>
        </row>
        <row r="18">
          <cell r="E18">
            <v>9817</v>
          </cell>
        </row>
        <row r="19">
          <cell r="E19">
            <v>9137</v>
          </cell>
        </row>
        <row r="20">
          <cell r="E20">
            <v>16758</v>
          </cell>
        </row>
        <row r="21">
          <cell r="E21">
            <v>18320</v>
          </cell>
        </row>
        <row r="22">
          <cell r="E22">
            <v>9927</v>
          </cell>
        </row>
        <row r="25">
          <cell r="E25">
            <v>23521</v>
          </cell>
        </row>
        <row r="26">
          <cell r="E26">
            <v>10732</v>
          </cell>
        </row>
        <row r="27">
          <cell r="E27">
            <v>17094</v>
          </cell>
        </row>
        <row r="28">
          <cell r="E28">
            <v>17777</v>
          </cell>
        </row>
        <row r="32">
          <cell r="E32">
            <v>5098</v>
          </cell>
        </row>
        <row r="33">
          <cell r="E33">
            <v>23219</v>
          </cell>
        </row>
        <row r="34">
          <cell r="E34">
            <v>21022</v>
          </cell>
        </row>
        <row r="35">
          <cell r="E35">
            <v>8322</v>
          </cell>
        </row>
        <row r="36">
          <cell r="E36">
            <v>8795</v>
          </cell>
        </row>
      </sheetData>
      <sheetData sheetId="16">
        <row r="8">
          <cell r="E8">
            <v>12521</v>
          </cell>
        </row>
        <row r="9">
          <cell r="E9">
            <v>9118</v>
          </cell>
        </row>
        <row r="10">
          <cell r="E10">
            <v>7857</v>
          </cell>
        </row>
        <row r="11">
          <cell r="E11">
            <v>7348</v>
          </cell>
        </row>
        <row r="12">
          <cell r="E12">
            <v>5375</v>
          </cell>
        </row>
        <row r="13">
          <cell r="E13">
            <v>13211</v>
          </cell>
        </row>
        <row r="14">
          <cell r="E14">
            <v>5375</v>
          </cell>
        </row>
        <row r="15">
          <cell r="E15">
            <v>3500</v>
          </cell>
        </row>
        <row r="18">
          <cell r="E18">
            <v>52247</v>
          </cell>
        </row>
        <row r="19">
          <cell r="E19">
            <v>19868</v>
          </cell>
        </row>
        <row r="20">
          <cell r="E20">
            <v>8750</v>
          </cell>
        </row>
        <row r="21">
          <cell r="E21">
            <v>9075</v>
          </cell>
        </row>
        <row r="24">
          <cell r="E24">
            <v>60101</v>
          </cell>
        </row>
        <row r="27">
          <cell r="E27">
            <v>23189</v>
          </cell>
        </row>
        <row r="28">
          <cell r="E28">
            <v>46380</v>
          </cell>
        </row>
        <row r="31">
          <cell r="E31">
            <v>5627</v>
          </cell>
        </row>
        <row r="32">
          <cell r="E32">
            <v>9104</v>
          </cell>
        </row>
        <row r="33">
          <cell r="E33">
            <v>8535</v>
          </cell>
        </row>
        <row r="34">
          <cell r="E34">
            <v>11000</v>
          </cell>
        </row>
        <row r="36">
          <cell r="E36">
            <v>5374</v>
          </cell>
        </row>
        <row r="37">
          <cell r="E37">
            <v>12645</v>
          </cell>
        </row>
        <row r="38">
          <cell r="E38">
            <v>10938</v>
          </cell>
        </row>
      </sheetData>
      <sheetData sheetId="17">
        <row r="8">
          <cell r="E8">
            <v>69881</v>
          </cell>
        </row>
        <row r="11">
          <cell r="E11">
            <v>2928</v>
          </cell>
        </row>
        <row r="12">
          <cell r="E12">
            <v>14436</v>
          </cell>
        </row>
        <row r="13">
          <cell r="E13">
            <v>6962</v>
          </cell>
        </row>
        <row r="14">
          <cell r="E14">
            <v>27576</v>
          </cell>
        </row>
        <row r="15">
          <cell r="E15">
            <v>17544</v>
          </cell>
        </row>
        <row r="16">
          <cell r="E16">
            <v>5628</v>
          </cell>
        </row>
        <row r="17">
          <cell r="E17">
            <v>6288</v>
          </cell>
        </row>
        <row r="18">
          <cell r="E18">
            <v>2964</v>
          </cell>
        </row>
        <row r="19">
          <cell r="E19">
            <v>21096</v>
          </cell>
        </row>
        <row r="20">
          <cell r="E20">
            <v>10512</v>
          </cell>
        </row>
        <row r="23">
          <cell r="E23">
            <v>25466</v>
          </cell>
        </row>
        <row r="24">
          <cell r="E24">
            <v>35830</v>
          </cell>
        </row>
        <row r="25">
          <cell r="E25">
            <v>5534</v>
          </cell>
        </row>
        <row r="28">
          <cell r="E28">
            <v>5700</v>
          </cell>
        </row>
        <row r="29">
          <cell r="E29">
            <v>5700</v>
          </cell>
        </row>
        <row r="30">
          <cell r="E30">
            <v>4257</v>
          </cell>
        </row>
        <row r="33">
          <cell r="E33">
            <v>6634</v>
          </cell>
        </row>
        <row r="34">
          <cell r="E34">
            <v>5135</v>
          </cell>
        </row>
        <row r="35">
          <cell r="E35">
            <v>6160</v>
          </cell>
        </row>
        <row r="36">
          <cell r="E36">
            <v>4510</v>
          </cell>
        </row>
        <row r="37">
          <cell r="E37">
            <v>8834</v>
          </cell>
        </row>
        <row r="38">
          <cell r="E38">
            <v>7010</v>
          </cell>
        </row>
        <row r="39">
          <cell r="E39">
            <v>3386</v>
          </cell>
        </row>
        <row r="40">
          <cell r="E40">
            <v>7159</v>
          </cell>
        </row>
        <row r="41">
          <cell r="E41">
            <v>4985</v>
          </cell>
        </row>
        <row r="42">
          <cell r="E42">
            <v>2500</v>
          </cell>
        </row>
        <row r="45">
          <cell r="E45">
            <v>3273.5</v>
          </cell>
        </row>
        <row r="46">
          <cell r="E46">
            <v>3092.5</v>
          </cell>
        </row>
        <row r="47">
          <cell r="E47">
            <v>1964.5</v>
          </cell>
        </row>
        <row r="48">
          <cell r="E48">
            <v>3092.5</v>
          </cell>
        </row>
        <row r="49">
          <cell r="E49">
            <v>3041.5</v>
          </cell>
        </row>
        <row r="50">
          <cell r="E50">
            <v>6133</v>
          </cell>
        </row>
        <row r="51">
          <cell r="E51">
            <v>2679.5</v>
          </cell>
        </row>
        <row r="52">
          <cell r="E52">
            <v>3565.5</v>
          </cell>
        </row>
        <row r="53">
          <cell r="E53">
            <v>2497.5</v>
          </cell>
        </row>
        <row r="54">
          <cell r="E54">
            <v>2074.5</v>
          </cell>
        </row>
        <row r="55">
          <cell r="E55">
            <v>1863.5</v>
          </cell>
        </row>
        <row r="58">
          <cell r="E58">
            <v>14026</v>
          </cell>
        </row>
        <row r="59">
          <cell r="E59">
            <v>30166</v>
          </cell>
        </row>
        <row r="60">
          <cell r="E60">
            <v>700</v>
          </cell>
        </row>
        <row r="61">
          <cell r="E61">
            <v>2646</v>
          </cell>
        </row>
        <row r="62">
          <cell r="E62">
            <v>60000</v>
          </cell>
        </row>
        <row r="63">
          <cell r="E63">
            <v>5266</v>
          </cell>
        </row>
        <row r="64">
          <cell r="E64">
            <v>17371</v>
          </cell>
        </row>
        <row r="65">
          <cell r="E65">
            <v>8442</v>
          </cell>
        </row>
        <row r="69">
          <cell r="E69">
            <v>3103</v>
          </cell>
        </row>
        <row r="70">
          <cell r="E70">
            <v>2287</v>
          </cell>
        </row>
        <row r="71">
          <cell r="E71">
            <v>2123</v>
          </cell>
        </row>
        <row r="72">
          <cell r="E72">
            <v>2613</v>
          </cell>
        </row>
        <row r="75">
          <cell r="E75">
            <v>10700</v>
          </cell>
        </row>
        <row r="76">
          <cell r="E76">
            <v>21393</v>
          </cell>
        </row>
        <row r="83">
          <cell r="E83">
            <v>-1265</v>
          </cell>
        </row>
      </sheetData>
      <sheetData sheetId="18">
        <row r="14">
          <cell r="E14">
            <v>46953</v>
          </cell>
        </row>
        <row r="15">
          <cell r="E15">
            <v>24410</v>
          </cell>
        </row>
        <row r="18">
          <cell r="E18">
            <v>2904</v>
          </cell>
        </row>
        <row r="19">
          <cell r="E19">
            <v>2215</v>
          </cell>
        </row>
        <row r="20">
          <cell r="E20">
            <v>6610</v>
          </cell>
        </row>
        <row r="21">
          <cell r="E21">
            <v>2819</v>
          </cell>
        </row>
        <row r="22">
          <cell r="E22">
            <v>1858</v>
          </cell>
        </row>
        <row r="23">
          <cell r="E23">
            <v>27949</v>
          </cell>
        </row>
        <row r="24">
          <cell r="E24">
            <v>17676</v>
          </cell>
        </row>
        <row r="25">
          <cell r="E25">
            <v>5367</v>
          </cell>
        </row>
        <row r="26">
          <cell r="E26">
            <v>2904</v>
          </cell>
        </row>
        <row r="29">
          <cell r="E29">
            <v>16080</v>
          </cell>
        </row>
        <row r="30">
          <cell r="E30">
            <v>5025</v>
          </cell>
        </row>
        <row r="31">
          <cell r="E31">
            <v>4020</v>
          </cell>
        </row>
        <row r="32">
          <cell r="E32">
            <v>10658</v>
          </cell>
        </row>
        <row r="33">
          <cell r="E33">
            <v>4895</v>
          </cell>
        </row>
        <row r="34">
          <cell r="E34">
            <v>6395</v>
          </cell>
        </row>
        <row r="35">
          <cell r="E35">
            <v>12918</v>
          </cell>
        </row>
        <row r="36">
          <cell r="E36">
            <v>14899</v>
          </cell>
        </row>
        <row r="37">
          <cell r="E37">
            <v>6395</v>
          </cell>
        </row>
        <row r="38">
          <cell r="E38">
            <v>28777</v>
          </cell>
        </row>
        <row r="39">
          <cell r="E39">
            <v>6030</v>
          </cell>
        </row>
        <row r="40">
          <cell r="E40">
            <v>16000</v>
          </cell>
        </row>
        <row r="41">
          <cell r="E41">
            <v>5025</v>
          </cell>
        </row>
        <row r="42">
          <cell r="E42">
            <v>11191</v>
          </cell>
        </row>
        <row r="43">
          <cell r="E43">
            <v>14372</v>
          </cell>
        </row>
        <row r="44">
          <cell r="E44">
            <v>5328</v>
          </cell>
        </row>
        <row r="45">
          <cell r="E45">
            <v>633</v>
          </cell>
        </row>
        <row r="46">
          <cell r="E46">
            <v>721</v>
          </cell>
        </row>
        <row r="50">
          <cell r="E50">
            <v>12293</v>
          </cell>
        </row>
        <row r="51">
          <cell r="E51">
            <v>76234</v>
          </cell>
        </row>
        <row r="54">
          <cell r="E54">
            <v>75282</v>
          </cell>
        </row>
        <row r="55">
          <cell r="C55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/>
      <sheetData sheetId="1">
        <row r="22">
          <cell r="C22">
            <v>173847</v>
          </cell>
        </row>
        <row r="30">
          <cell r="C30">
            <v>343088</v>
          </cell>
        </row>
      </sheetData>
      <sheetData sheetId="2"/>
      <sheetData sheetId="3">
        <row r="8">
          <cell r="D8">
            <v>2500</v>
          </cell>
        </row>
        <row r="9">
          <cell r="D9">
            <v>1000</v>
          </cell>
        </row>
        <row r="10">
          <cell r="D10">
            <v>0</v>
          </cell>
        </row>
        <row r="11">
          <cell r="D11">
            <v>0</v>
          </cell>
        </row>
        <row r="16">
          <cell r="D16">
            <v>21665</v>
          </cell>
        </row>
        <row r="17">
          <cell r="D17">
            <v>0</v>
          </cell>
        </row>
        <row r="18">
          <cell r="D18">
            <v>10604.67</v>
          </cell>
        </row>
        <row r="21">
          <cell r="D21">
            <v>7274</v>
          </cell>
        </row>
        <row r="22">
          <cell r="D22">
            <v>2878</v>
          </cell>
        </row>
        <row r="23">
          <cell r="D23">
            <v>2000</v>
          </cell>
        </row>
        <row r="24">
          <cell r="D24">
            <v>2324</v>
          </cell>
        </row>
        <row r="25">
          <cell r="D25">
            <v>12397.5</v>
          </cell>
        </row>
        <row r="26">
          <cell r="D26">
            <v>3339</v>
          </cell>
        </row>
        <row r="27">
          <cell r="D27">
            <v>0</v>
          </cell>
        </row>
        <row r="28">
          <cell r="D28">
            <v>5457.97</v>
          </cell>
        </row>
        <row r="31">
          <cell r="D31">
            <v>26000</v>
          </cell>
        </row>
        <row r="33">
          <cell r="D33">
            <v>3500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1470</v>
          </cell>
        </row>
        <row r="37">
          <cell r="D37">
            <v>2500</v>
          </cell>
        </row>
        <row r="38">
          <cell r="D38">
            <v>700</v>
          </cell>
        </row>
        <row r="39">
          <cell r="D39">
            <v>500</v>
          </cell>
        </row>
        <row r="40">
          <cell r="D40">
            <v>2100</v>
          </cell>
        </row>
      </sheetData>
      <sheetData sheetId="4"/>
      <sheetData sheetId="5"/>
      <sheetData sheetId="6"/>
      <sheetData sheetId="7">
        <row r="8">
          <cell r="D8">
            <v>3000</v>
          </cell>
        </row>
        <row r="9">
          <cell r="D9">
            <v>1000</v>
          </cell>
        </row>
        <row r="13">
          <cell r="D13">
            <v>600</v>
          </cell>
        </row>
        <row r="14">
          <cell r="D14">
            <v>0</v>
          </cell>
        </row>
        <row r="15">
          <cell r="D15">
            <v>3500</v>
          </cell>
        </row>
        <row r="16">
          <cell r="D16">
            <v>0</v>
          </cell>
        </row>
        <row r="17">
          <cell r="D17">
            <v>10000</v>
          </cell>
        </row>
        <row r="18">
          <cell r="D18">
            <v>1000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4">
          <cell r="D24">
            <v>2000</v>
          </cell>
        </row>
        <row r="25">
          <cell r="D25">
            <v>0</v>
          </cell>
        </row>
        <row r="26">
          <cell r="D26">
            <v>1200</v>
          </cell>
        </row>
        <row r="27">
          <cell r="D27">
            <v>4000</v>
          </cell>
        </row>
        <row r="28">
          <cell r="D28">
            <v>4500</v>
          </cell>
        </row>
        <row r="29">
          <cell r="D29">
            <v>1200</v>
          </cell>
        </row>
        <row r="30">
          <cell r="D30">
            <v>2400</v>
          </cell>
        </row>
        <row r="33">
          <cell r="D33">
            <v>1500</v>
          </cell>
        </row>
        <row r="34">
          <cell r="D34">
            <v>9163</v>
          </cell>
        </row>
        <row r="35">
          <cell r="D35">
            <v>3620</v>
          </cell>
        </row>
        <row r="36">
          <cell r="D36">
            <v>4500</v>
          </cell>
        </row>
        <row r="37">
          <cell r="D37">
            <v>4473</v>
          </cell>
        </row>
        <row r="38">
          <cell r="D38">
            <v>3321</v>
          </cell>
        </row>
        <row r="40">
          <cell r="D40">
            <v>9524</v>
          </cell>
        </row>
        <row r="41">
          <cell r="D41">
            <v>5000</v>
          </cell>
        </row>
        <row r="42">
          <cell r="D42">
            <v>3400</v>
          </cell>
        </row>
        <row r="43">
          <cell r="D43">
            <v>4329.5</v>
          </cell>
        </row>
        <row r="44">
          <cell r="D44">
            <v>3117</v>
          </cell>
        </row>
      </sheetData>
      <sheetData sheetId="8">
        <row r="8">
          <cell r="D8">
            <v>8087.5</v>
          </cell>
        </row>
        <row r="9">
          <cell r="D9">
            <v>0</v>
          </cell>
        </row>
        <row r="10">
          <cell r="D10">
            <v>2000</v>
          </cell>
        </row>
        <row r="11">
          <cell r="D11">
            <v>3281</v>
          </cell>
        </row>
        <row r="12">
          <cell r="D12">
            <v>1669.5</v>
          </cell>
        </row>
        <row r="13">
          <cell r="D13">
            <v>6897</v>
          </cell>
        </row>
        <row r="16">
          <cell r="D16">
            <v>7000</v>
          </cell>
        </row>
        <row r="17">
          <cell r="D17">
            <v>4207</v>
          </cell>
        </row>
        <row r="18">
          <cell r="D18">
            <v>14500</v>
          </cell>
        </row>
        <row r="19">
          <cell r="D19">
            <v>6018</v>
          </cell>
        </row>
        <row r="22">
          <cell r="D22">
            <v>17630</v>
          </cell>
        </row>
        <row r="23">
          <cell r="D23">
            <v>6000</v>
          </cell>
        </row>
        <row r="24">
          <cell r="D24">
            <v>4000</v>
          </cell>
        </row>
        <row r="28">
          <cell r="D28">
            <v>12610</v>
          </cell>
        </row>
        <row r="29">
          <cell r="D29">
            <v>6000</v>
          </cell>
        </row>
        <row r="30">
          <cell r="D30">
            <v>4055</v>
          </cell>
        </row>
        <row r="31">
          <cell r="D31">
            <v>5000</v>
          </cell>
        </row>
        <row r="34">
          <cell r="D34">
            <v>7020</v>
          </cell>
        </row>
        <row r="35">
          <cell r="D35">
            <v>10000</v>
          </cell>
        </row>
        <row r="36">
          <cell r="D36">
            <v>7238</v>
          </cell>
        </row>
        <row r="37">
          <cell r="D37">
            <v>8000</v>
          </cell>
        </row>
        <row r="38">
          <cell r="D38">
            <v>4662</v>
          </cell>
        </row>
      </sheetData>
      <sheetData sheetId="9">
        <row r="8">
          <cell r="D8">
            <v>0</v>
          </cell>
        </row>
        <row r="9">
          <cell r="D9">
            <v>2500</v>
          </cell>
        </row>
        <row r="10">
          <cell r="D10">
            <v>0</v>
          </cell>
        </row>
        <row r="11">
          <cell r="D11">
            <v>14160</v>
          </cell>
        </row>
        <row r="12">
          <cell r="D12">
            <v>3000</v>
          </cell>
        </row>
        <row r="13">
          <cell r="D13">
            <v>3173</v>
          </cell>
        </row>
        <row r="14">
          <cell r="D14">
            <v>0</v>
          </cell>
        </row>
        <row r="17">
          <cell r="D17">
            <v>1540</v>
          </cell>
        </row>
        <row r="18">
          <cell r="D18">
            <v>5000</v>
          </cell>
        </row>
        <row r="19">
          <cell r="D19">
            <v>4000</v>
          </cell>
        </row>
        <row r="20">
          <cell r="D20">
            <v>2500</v>
          </cell>
        </row>
        <row r="21">
          <cell r="D21">
            <v>9500</v>
          </cell>
        </row>
        <row r="22">
          <cell r="D22">
            <v>11057</v>
          </cell>
        </row>
        <row r="23">
          <cell r="D23">
            <v>6000</v>
          </cell>
        </row>
        <row r="24">
          <cell r="D24">
            <v>2000</v>
          </cell>
        </row>
        <row r="28">
          <cell r="D28">
            <v>2222</v>
          </cell>
        </row>
        <row r="29">
          <cell r="D29">
            <v>1157</v>
          </cell>
        </row>
        <row r="30">
          <cell r="D30">
            <v>1500</v>
          </cell>
        </row>
        <row r="31">
          <cell r="D31">
            <v>7573</v>
          </cell>
        </row>
        <row r="32">
          <cell r="D32">
            <v>0</v>
          </cell>
        </row>
        <row r="33">
          <cell r="D33">
            <v>2219</v>
          </cell>
        </row>
        <row r="36">
          <cell r="D36">
            <v>4122</v>
          </cell>
        </row>
        <row r="37">
          <cell r="D37">
            <v>3105</v>
          </cell>
        </row>
        <row r="38">
          <cell r="D38">
            <v>0</v>
          </cell>
        </row>
        <row r="39">
          <cell r="D39">
            <v>3000</v>
          </cell>
        </row>
        <row r="40">
          <cell r="D40">
            <v>4181</v>
          </cell>
        </row>
        <row r="41">
          <cell r="D41">
            <v>1250</v>
          </cell>
        </row>
        <row r="42">
          <cell r="D42">
            <v>5700</v>
          </cell>
        </row>
        <row r="43">
          <cell r="D43">
            <v>0</v>
          </cell>
        </row>
      </sheetData>
      <sheetData sheetId="10">
        <row r="8">
          <cell r="D8">
            <v>4635</v>
          </cell>
        </row>
        <row r="9">
          <cell r="D9">
            <v>6953</v>
          </cell>
        </row>
        <row r="10">
          <cell r="D10">
            <v>14464</v>
          </cell>
        </row>
        <row r="11">
          <cell r="D11">
            <v>6082.7</v>
          </cell>
        </row>
        <row r="12">
          <cell r="D12">
            <v>2841</v>
          </cell>
        </row>
        <row r="15">
          <cell r="D15">
            <v>26675</v>
          </cell>
        </row>
        <row r="17">
          <cell r="D17">
            <v>37835</v>
          </cell>
        </row>
        <row r="18">
          <cell r="D18">
            <v>0</v>
          </cell>
        </row>
        <row r="21">
          <cell r="D21">
            <v>2859</v>
          </cell>
        </row>
        <row r="22">
          <cell r="D22">
            <v>5718</v>
          </cell>
        </row>
        <row r="23">
          <cell r="D23">
            <v>1432</v>
          </cell>
        </row>
        <row r="24">
          <cell r="D24">
            <v>1860</v>
          </cell>
        </row>
        <row r="25">
          <cell r="D25">
            <v>8225.93</v>
          </cell>
        </row>
        <row r="28">
          <cell r="D28">
            <v>0</v>
          </cell>
        </row>
        <row r="29">
          <cell r="D29">
            <v>10000</v>
          </cell>
        </row>
        <row r="30">
          <cell r="D30">
            <v>14322</v>
          </cell>
        </row>
        <row r="31">
          <cell r="D31">
            <v>11944</v>
          </cell>
        </row>
        <row r="34">
          <cell r="D34">
            <v>9000</v>
          </cell>
        </row>
        <row r="35">
          <cell r="D35">
            <v>6000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8">
          <cell r="D48">
            <v>11641</v>
          </cell>
        </row>
        <row r="49">
          <cell r="D49">
            <v>28800</v>
          </cell>
        </row>
      </sheetData>
      <sheetData sheetId="11">
        <row r="8">
          <cell r="D8">
            <v>14500</v>
          </cell>
        </row>
        <row r="12">
          <cell r="D12">
            <v>1300</v>
          </cell>
        </row>
        <row r="13">
          <cell r="D13">
            <v>6000</v>
          </cell>
        </row>
        <row r="14">
          <cell r="D14">
            <v>5675</v>
          </cell>
        </row>
        <row r="22">
          <cell r="D22">
            <v>8970</v>
          </cell>
        </row>
        <row r="23">
          <cell r="D23">
            <v>3000</v>
          </cell>
        </row>
        <row r="24">
          <cell r="D24">
            <v>4941.4400000000005</v>
          </cell>
        </row>
        <row r="25">
          <cell r="D25">
            <v>1000</v>
          </cell>
        </row>
        <row r="26">
          <cell r="D26">
            <v>4152</v>
          </cell>
        </row>
        <row r="27">
          <cell r="D27">
            <v>2500</v>
          </cell>
        </row>
        <row r="28">
          <cell r="D28">
            <v>2510</v>
          </cell>
        </row>
        <row r="29">
          <cell r="D29">
            <v>2200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12000</v>
          </cell>
        </row>
        <row r="33">
          <cell r="D33">
            <v>3900</v>
          </cell>
        </row>
        <row r="34">
          <cell r="D34">
            <v>1000</v>
          </cell>
        </row>
        <row r="35">
          <cell r="D35">
            <v>12000</v>
          </cell>
        </row>
        <row r="36">
          <cell r="D36">
            <v>5250</v>
          </cell>
        </row>
        <row r="40">
          <cell r="D40">
            <v>35000</v>
          </cell>
        </row>
        <row r="42">
          <cell r="D42">
            <v>3700</v>
          </cell>
        </row>
        <row r="43">
          <cell r="D43">
            <v>6000</v>
          </cell>
        </row>
        <row r="44">
          <cell r="D44">
            <v>10000</v>
          </cell>
        </row>
      </sheetData>
      <sheetData sheetId="12">
        <row r="8">
          <cell r="D8">
            <v>14000</v>
          </cell>
        </row>
        <row r="9">
          <cell r="D9">
            <v>5210</v>
          </cell>
        </row>
        <row r="10">
          <cell r="D10">
            <v>2729</v>
          </cell>
        </row>
        <row r="11">
          <cell r="D11">
            <v>8250</v>
          </cell>
        </row>
        <row r="12">
          <cell r="D12">
            <v>5273</v>
          </cell>
        </row>
        <row r="13">
          <cell r="D13">
            <v>4200</v>
          </cell>
        </row>
        <row r="16">
          <cell r="D16">
            <v>17541</v>
          </cell>
        </row>
        <row r="17">
          <cell r="D17">
            <v>4134</v>
          </cell>
        </row>
        <row r="18">
          <cell r="D18">
            <v>6131</v>
          </cell>
        </row>
        <row r="19">
          <cell r="D19">
            <v>9407</v>
          </cell>
        </row>
        <row r="20">
          <cell r="D20">
            <v>2601</v>
          </cell>
        </row>
        <row r="21">
          <cell r="D21">
            <v>3550</v>
          </cell>
        </row>
        <row r="22">
          <cell r="D22">
            <v>2675</v>
          </cell>
        </row>
        <row r="25">
          <cell r="D25">
            <v>22503</v>
          </cell>
        </row>
        <row r="26">
          <cell r="D26">
            <v>13803</v>
          </cell>
        </row>
        <row r="27">
          <cell r="D27">
            <v>8057</v>
          </cell>
        </row>
        <row r="30">
          <cell r="D30">
            <v>875</v>
          </cell>
        </row>
        <row r="34">
          <cell r="D34">
            <v>44513</v>
          </cell>
        </row>
      </sheetData>
      <sheetData sheetId="13">
        <row r="8">
          <cell r="D8">
            <v>10000</v>
          </cell>
        </row>
        <row r="9">
          <cell r="D9">
            <v>3500</v>
          </cell>
        </row>
        <row r="13">
          <cell r="D13">
            <v>8000</v>
          </cell>
        </row>
        <row r="14">
          <cell r="D14">
            <v>5000</v>
          </cell>
        </row>
        <row r="15">
          <cell r="D15">
            <v>4500</v>
          </cell>
        </row>
        <row r="16">
          <cell r="D16">
            <v>5000</v>
          </cell>
        </row>
        <row r="17">
          <cell r="D17">
            <v>3500</v>
          </cell>
        </row>
        <row r="21">
          <cell r="D21">
            <v>5810</v>
          </cell>
        </row>
        <row r="22">
          <cell r="D22">
            <v>36000</v>
          </cell>
        </row>
        <row r="23">
          <cell r="D23">
            <v>7392.6</v>
          </cell>
        </row>
        <row r="26">
          <cell r="D26">
            <v>5000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2">
          <cell r="D32">
            <v>10000</v>
          </cell>
        </row>
        <row r="36">
          <cell r="D36">
            <v>10500</v>
          </cell>
        </row>
        <row r="40">
          <cell r="D40">
            <v>27916</v>
          </cell>
        </row>
        <row r="42">
          <cell r="D42">
            <v>6698</v>
          </cell>
        </row>
        <row r="43">
          <cell r="D43">
            <v>34132</v>
          </cell>
        </row>
      </sheetData>
      <sheetData sheetId="14">
        <row r="8">
          <cell r="D8">
            <v>15583</v>
          </cell>
        </row>
        <row r="10">
          <cell r="D10">
            <v>107618.8</v>
          </cell>
        </row>
        <row r="12">
          <cell r="D12">
            <v>18888</v>
          </cell>
        </row>
        <row r="13">
          <cell r="D13">
            <v>11000</v>
          </cell>
        </row>
        <row r="16">
          <cell r="D16">
            <v>5000</v>
          </cell>
        </row>
        <row r="17">
          <cell r="D17">
            <v>17913</v>
          </cell>
        </row>
        <row r="18">
          <cell r="D18">
            <v>3901.6</v>
          </cell>
        </row>
        <row r="19">
          <cell r="D19">
            <v>9100</v>
          </cell>
        </row>
        <row r="22">
          <cell r="D22">
            <v>4750</v>
          </cell>
        </row>
        <row r="23">
          <cell r="D23">
            <v>1000</v>
          </cell>
        </row>
        <row r="24">
          <cell r="D24">
            <v>5510</v>
          </cell>
        </row>
        <row r="25">
          <cell r="D25">
            <v>500</v>
          </cell>
        </row>
        <row r="26">
          <cell r="D26">
            <v>7600</v>
          </cell>
        </row>
        <row r="29">
          <cell r="D29">
            <v>28261.5</v>
          </cell>
        </row>
        <row r="30">
          <cell r="D30">
            <v>5543.4</v>
          </cell>
        </row>
        <row r="31">
          <cell r="D31">
            <v>27055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26322</v>
          </cell>
        </row>
      </sheetData>
      <sheetData sheetId="15">
        <row r="8">
          <cell r="D8">
            <v>28930</v>
          </cell>
        </row>
        <row r="10">
          <cell r="D10">
            <v>37395</v>
          </cell>
        </row>
        <row r="12">
          <cell r="D12">
            <v>16500</v>
          </cell>
        </row>
        <row r="14">
          <cell r="D14">
            <v>3280</v>
          </cell>
        </row>
        <row r="15">
          <cell r="D15">
            <v>35000</v>
          </cell>
        </row>
        <row r="18">
          <cell r="D18">
            <v>32361</v>
          </cell>
        </row>
        <row r="20">
          <cell r="D20">
            <v>14286</v>
          </cell>
        </row>
        <row r="21">
          <cell r="D21">
            <v>22995.9</v>
          </cell>
        </row>
        <row r="24">
          <cell r="D24">
            <v>6152.4</v>
          </cell>
        </row>
        <row r="25">
          <cell r="D25">
            <v>5550</v>
          </cell>
        </row>
        <row r="26">
          <cell r="D26">
            <v>1200</v>
          </cell>
        </row>
        <row r="27">
          <cell r="D27">
            <v>9100</v>
          </cell>
        </row>
        <row r="28">
          <cell r="D28">
            <v>4398</v>
          </cell>
        </row>
        <row r="29">
          <cell r="D29">
            <v>8155.18</v>
          </cell>
        </row>
        <row r="30">
          <cell r="D30">
            <v>2100</v>
          </cell>
        </row>
        <row r="31">
          <cell r="D31">
            <v>4164</v>
          </cell>
        </row>
      </sheetData>
      <sheetData sheetId="16">
        <row r="8">
          <cell r="D8">
            <v>600</v>
          </cell>
        </row>
        <row r="9">
          <cell r="D9">
            <v>7900</v>
          </cell>
        </row>
        <row r="10">
          <cell r="D10">
            <v>3000</v>
          </cell>
        </row>
        <row r="13">
          <cell r="D13">
            <v>6038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1000</v>
          </cell>
        </row>
        <row r="17">
          <cell r="D17">
            <v>800</v>
          </cell>
        </row>
        <row r="18">
          <cell r="D18">
            <v>9784</v>
          </cell>
        </row>
        <row r="21">
          <cell r="D21">
            <v>15965</v>
          </cell>
        </row>
        <row r="23">
          <cell r="D23">
            <v>7400</v>
          </cell>
        </row>
        <row r="24">
          <cell r="D24">
            <v>750</v>
          </cell>
        </row>
        <row r="25">
          <cell r="D25">
            <v>150</v>
          </cell>
        </row>
        <row r="26">
          <cell r="D26">
            <v>5600</v>
          </cell>
        </row>
        <row r="27">
          <cell r="D27">
            <v>750</v>
          </cell>
        </row>
        <row r="28">
          <cell r="D28">
            <v>3000</v>
          </cell>
        </row>
        <row r="29">
          <cell r="D29">
            <v>3500</v>
          </cell>
        </row>
        <row r="30">
          <cell r="D30">
            <v>700</v>
          </cell>
        </row>
      </sheetData>
      <sheetData sheetId="17">
        <row r="8">
          <cell r="D8">
            <v>200</v>
          </cell>
        </row>
        <row r="9">
          <cell r="D9">
            <v>2100</v>
          </cell>
        </row>
        <row r="10">
          <cell r="D10">
            <v>1000</v>
          </cell>
        </row>
        <row r="11">
          <cell r="D11">
            <v>0</v>
          </cell>
        </row>
        <row r="12">
          <cell r="D12">
            <v>2438</v>
          </cell>
        </row>
        <row r="13">
          <cell r="D13">
            <v>3423</v>
          </cell>
        </row>
        <row r="14">
          <cell r="D14">
            <v>2405</v>
          </cell>
        </row>
        <row r="15">
          <cell r="D15">
            <v>99</v>
          </cell>
        </row>
        <row r="18">
          <cell r="D18">
            <v>2000</v>
          </cell>
        </row>
        <row r="19">
          <cell r="D19">
            <v>0</v>
          </cell>
        </row>
        <row r="20">
          <cell r="D20">
            <v>2100</v>
          </cell>
        </row>
        <row r="21">
          <cell r="D21">
            <v>7000</v>
          </cell>
        </row>
        <row r="22">
          <cell r="D22">
            <v>1000</v>
          </cell>
        </row>
        <row r="23">
          <cell r="D23">
            <v>0</v>
          </cell>
        </row>
        <row r="24">
          <cell r="D24">
            <v>4461</v>
          </cell>
        </row>
        <row r="25">
          <cell r="D25">
            <v>0</v>
          </cell>
        </row>
        <row r="28">
          <cell r="D28">
            <v>5000</v>
          </cell>
        </row>
        <row r="29">
          <cell r="D29">
            <v>10500</v>
          </cell>
        </row>
        <row r="30">
          <cell r="D30">
            <v>6000</v>
          </cell>
        </row>
        <row r="31">
          <cell r="D31">
            <v>1000</v>
          </cell>
        </row>
        <row r="32">
          <cell r="D32">
            <v>3000</v>
          </cell>
        </row>
        <row r="33">
          <cell r="D33">
            <v>3000</v>
          </cell>
        </row>
      </sheetData>
      <sheetData sheetId="18">
        <row r="8">
          <cell r="D8">
            <v>25000</v>
          </cell>
        </row>
        <row r="9">
          <cell r="D9">
            <v>4066.4</v>
          </cell>
        </row>
        <row r="12">
          <cell r="D12">
            <v>6500</v>
          </cell>
        </row>
        <row r="13">
          <cell r="D13">
            <v>3314</v>
          </cell>
        </row>
        <row r="14">
          <cell r="D14">
            <v>4500</v>
          </cell>
        </row>
        <row r="15">
          <cell r="D15">
            <v>3500</v>
          </cell>
        </row>
        <row r="16">
          <cell r="D16">
            <v>6500</v>
          </cell>
        </row>
        <row r="17">
          <cell r="D17">
            <v>3500</v>
          </cell>
        </row>
        <row r="18">
          <cell r="D18">
            <v>2000</v>
          </cell>
        </row>
        <row r="19">
          <cell r="D19">
            <v>0</v>
          </cell>
        </row>
        <row r="20">
          <cell r="D20">
            <v>0</v>
          </cell>
        </row>
        <row r="23">
          <cell r="D23">
            <v>0</v>
          </cell>
        </row>
        <row r="24">
          <cell r="D24">
            <v>19887</v>
          </cell>
        </row>
        <row r="25">
          <cell r="D25">
            <v>2200</v>
          </cell>
        </row>
        <row r="26">
          <cell r="D26">
            <v>1900</v>
          </cell>
        </row>
        <row r="27">
          <cell r="D27">
            <v>1000</v>
          </cell>
        </row>
        <row r="28">
          <cell r="D28">
            <v>2775</v>
          </cell>
        </row>
        <row r="29">
          <cell r="D29">
            <v>2800</v>
          </cell>
        </row>
        <row r="32">
          <cell r="D32">
            <v>700</v>
          </cell>
        </row>
        <row r="33">
          <cell r="D33">
            <v>2200</v>
          </cell>
        </row>
        <row r="34">
          <cell r="D34">
            <v>4800</v>
          </cell>
        </row>
        <row r="35">
          <cell r="D35">
            <v>0</v>
          </cell>
        </row>
        <row r="36">
          <cell r="D36">
            <v>8190</v>
          </cell>
        </row>
        <row r="37">
          <cell r="D37">
            <v>3500</v>
          </cell>
        </row>
        <row r="38">
          <cell r="D38">
            <v>0</v>
          </cell>
        </row>
        <row r="39">
          <cell r="D39">
            <v>2788</v>
          </cell>
        </row>
        <row r="40">
          <cell r="D40">
            <v>0</v>
          </cell>
        </row>
        <row r="43">
          <cell r="D43">
            <v>1735</v>
          </cell>
        </row>
        <row r="44">
          <cell r="D44">
            <v>2173</v>
          </cell>
        </row>
        <row r="45">
          <cell r="D45">
            <v>2007</v>
          </cell>
        </row>
        <row r="46">
          <cell r="D46">
            <v>4011</v>
          </cell>
        </row>
        <row r="47">
          <cell r="D47">
            <v>1548.5</v>
          </cell>
        </row>
        <row r="48">
          <cell r="D48">
            <v>2340</v>
          </cell>
        </row>
        <row r="51">
          <cell r="D51">
            <v>9385</v>
          </cell>
        </row>
        <row r="52">
          <cell r="D52">
            <v>29000</v>
          </cell>
        </row>
      </sheetData>
      <sheetData sheetId="19">
        <row r="8">
          <cell r="D8">
            <v>7000</v>
          </cell>
        </row>
        <row r="11">
          <cell r="D11">
            <v>45886</v>
          </cell>
        </row>
        <row r="15">
          <cell r="D15">
            <v>27836</v>
          </cell>
        </row>
        <row r="17">
          <cell r="D17">
            <v>8650</v>
          </cell>
        </row>
        <row r="19">
          <cell r="D19">
            <v>6000</v>
          </cell>
        </row>
        <row r="20">
          <cell r="D20">
            <v>4500</v>
          </cell>
        </row>
        <row r="21">
          <cell r="D21">
            <v>7000</v>
          </cell>
        </row>
        <row r="24">
          <cell r="D24">
            <v>40496</v>
          </cell>
        </row>
        <row r="26">
          <cell r="D26">
            <v>14817</v>
          </cell>
        </row>
        <row r="28">
          <cell r="D28">
            <v>22500</v>
          </cell>
        </row>
        <row r="30">
          <cell r="D30">
            <v>4900</v>
          </cell>
        </row>
        <row r="31">
          <cell r="D31">
            <v>40917</v>
          </cell>
        </row>
        <row r="32">
          <cell r="D32">
            <v>3500</v>
          </cell>
        </row>
        <row r="36">
          <cell r="D36">
            <v>15925</v>
          </cell>
        </row>
        <row r="40">
          <cell r="D40">
            <v>40117</v>
          </cell>
        </row>
        <row r="42">
          <cell r="D42">
            <v>21000</v>
          </cell>
        </row>
        <row r="46">
          <cell r="D46">
            <v>16000</v>
          </cell>
        </row>
        <row r="49">
          <cell r="D49">
            <v>14124</v>
          </cell>
        </row>
      </sheetData>
      <sheetData sheetId="20">
        <row r="8">
          <cell r="D8">
            <v>10500</v>
          </cell>
        </row>
        <row r="9">
          <cell r="D9">
            <v>2000</v>
          </cell>
        </row>
        <row r="12">
          <cell r="D12">
            <v>13164</v>
          </cell>
        </row>
        <row r="13">
          <cell r="D13">
            <v>10000</v>
          </cell>
        </row>
        <row r="16">
          <cell r="D16">
            <v>1000</v>
          </cell>
        </row>
        <row r="17">
          <cell r="D17">
            <v>2636</v>
          </cell>
        </row>
        <row r="18">
          <cell r="D18">
            <v>2000</v>
          </cell>
        </row>
        <row r="19">
          <cell r="D19">
            <v>6000</v>
          </cell>
        </row>
        <row r="20">
          <cell r="D20">
            <v>6000</v>
          </cell>
        </row>
        <row r="21">
          <cell r="D21">
            <v>5800</v>
          </cell>
        </row>
        <row r="24">
          <cell r="D24">
            <v>4900</v>
          </cell>
        </row>
        <row r="25">
          <cell r="D25">
            <v>2400</v>
          </cell>
        </row>
        <row r="26">
          <cell r="D26">
            <v>9974</v>
          </cell>
        </row>
        <row r="27">
          <cell r="D27">
            <v>3600</v>
          </cell>
        </row>
        <row r="31">
          <cell r="D31">
            <v>2966.67</v>
          </cell>
        </row>
        <row r="32">
          <cell r="D32">
            <v>4000</v>
          </cell>
        </row>
        <row r="33">
          <cell r="D33">
            <v>10000</v>
          </cell>
        </row>
        <row r="34">
          <cell r="D34">
            <v>4992.2</v>
          </cell>
        </row>
        <row r="35">
          <cell r="D35">
            <v>0</v>
          </cell>
        </row>
      </sheetData>
      <sheetData sheetId="21">
        <row r="8">
          <cell r="D8">
            <v>8440</v>
          </cell>
        </row>
        <row r="9">
          <cell r="D9">
            <v>5000</v>
          </cell>
        </row>
        <row r="10">
          <cell r="D10">
            <v>1200</v>
          </cell>
        </row>
        <row r="11">
          <cell r="D11">
            <v>2000</v>
          </cell>
        </row>
        <row r="12">
          <cell r="D12">
            <v>0</v>
          </cell>
        </row>
        <row r="13">
          <cell r="D13">
            <v>4404</v>
          </cell>
        </row>
        <row r="14">
          <cell r="D14">
            <v>1000</v>
          </cell>
        </row>
        <row r="15">
          <cell r="D15">
            <v>3500</v>
          </cell>
        </row>
        <row r="18">
          <cell r="D18">
            <v>30478</v>
          </cell>
        </row>
        <row r="19">
          <cell r="D19">
            <v>14868</v>
          </cell>
        </row>
        <row r="20">
          <cell r="D20">
            <v>5000</v>
          </cell>
        </row>
        <row r="21">
          <cell r="D21">
            <v>9075</v>
          </cell>
        </row>
        <row r="24">
          <cell r="D24">
            <v>12000</v>
          </cell>
        </row>
        <row r="28">
          <cell r="D28">
            <v>13000</v>
          </cell>
        </row>
        <row r="29">
          <cell r="D29">
            <v>23192</v>
          </cell>
        </row>
        <row r="32">
          <cell r="D32">
            <v>2814</v>
          </cell>
        </row>
        <row r="33">
          <cell r="D33">
            <v>5000</v>
          </cell>
        </row>
        <row r="34">
          <cell r="D34">
            <v>5123</v>
          </cell>
        </row>
        <row r="35">
          <cell r="D35">
            <v>5500</v>
          </cell>
        </row>
        <row r="36">
          <cell r="D36">
            <v>3124.21</v>
          </cell>
        </row>
        <row r="37">
          <cell r="D37">
            <v>9000</v>
          </cell>
        </row>
        <row r="38">
          <cell r="D38">
            <v>8000</v>
          </cell>
        </row>
      </sheetData>
      <sheetData sheetId="22">
        <row r="8">
          <cell r="D8">
            <v>27000</v>
          </cell>
        </row>
        <row r="11">
          <cell r="D11">
            <v>0</v>
          </cell>
        </row>
        <row r="12">
          <cell r="D12">
            <v>2000</v>
          </cell>
        </row>
        <row r="13">
          <cell r="D13">
            <v>3481</v>
          </cell>
        </row>
        <row r="14">
          <cell r="D14">
            <v>1500</v>
          </cell>
        </row>
        <row r="15">
          <cell r="D15">
            <v>8041</v>
          </cell>
        </row>
        <row r="16">
          <cell r="D16">
            <v>0</v>
          </cell>
        </row>
        <row r="17">
          <cell r="D17">
            <v>3668</v>
          </cell>
        </row>
        <row r="18">
          <cell r="D18">
            <v>0</v>
          </cell>
        </row>
        <row r="19">
          <cell r="D19">
            <v>6500</v>
          </cell>
        </row>
        <row r="20">
          <cell r="D20">
            <v>2628</v>
          </cell>
        </row>
        <row r="23">
          <cell r="D23">
            <v>6000</v>
          </cell>
        </row>
        <row r="24">
          <cell r="D24">
            <v>7000</v>
          </cell>
        </row>
        <row r="25">
          <cell r="D25">
            <v>1000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3">
          <cell r="D33">
            <v>0</v>
          </cell>
        </row>
        <row r="34">
          <cell r="D34">
            <v>3820</v>
          </cell>
        </row>
        <row r="35">
          <cell r="D35">
            <v>1820</v>
          </cell>
        </row>
        <row r="36">
          <cell r="D36">
            <v>2320</v>
          </cell>
        </row>
        <row r="37">
          <cell r="D37">
            <v>3470</v>
          </cell>
        </row>
        <row r="38">
          <cell r="D38">
            <v>3373.81</v>
          </cell>
        </row>
        <row r="39">
          <cell r="D39">
            <v>260</v>
          </cell>
        </row>
        <row r="40">
          <cell r="D40">
            <v>320</v>
          </cell>
        </row>
        <row r="41">
          <cell r="D41">
            <v>320</v>
          </cell>
        </row>
        <row r="44">
          <cell r="D44">
            <v>0</v>
          </cell>
        </row>
        <row r="45">
          <cell r="D45">
            <v>1000</v>
          </cell>
        </row>
        <row r="46">
          <cell r="D46">
            <v>0</v>
          </cell>
        </row>
        <row r="47">
          <cell r="D47">
            <v>1000</v>
          </cell>
        </row>
        <row r="48">
          <cell r="D48">
            <v>541.5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1000</v>
          </cell>
        </row>
        <row r="57">
          <cell r="D57">
            <v>14026</v>
          </cell>
        </row>
        <row r="58">
          <cell r="D58">
            <v>15149.5</v>
          </cell>
        </row>
        <row r="59">
          <cell r="D59">
            <v>700</v>
          </cell>
        </row>
        <row r="60">
          <cell r="D60">
            <v>2646</v>
          </cell>
        </row>
        <row r="61">
          <cell r="D61">
            <v>30000</v>
          </cell>
        </row>
        <row r="62">
          <cell r="D62">
            <v>5000</v>
          </cell>
        </row>
        <row r="63">
          <cell r="D63">
            <v>7000</v>
          </cell>
        </row>
        <row r="64">
          <cell r="D64">
            <v>4222</v>
          </cell>
        </row>
        <row r="67">
          <cell r="D67">
            <v>2000</v>
          </cell>
        </row>
        <row r="68">
          <cell r="D68">
            <v>1287</v>
          </cell>
        </row>
        <row r="69">
          <cell r="D69">
            <v>700</v>
          </cell>
        </row>
        <row r="70">
          <cell r="D70">
            <v>0</v>
          </cell>
        </row>
        <row r="73">
          <cell r="D73">
            <v>0</v>
          </cell>
        </row>
        <row r="74">
          <cell r="D74">
            <v>1000</v>
          </cell>
        </row>
      </sheetData>
      <sheetData sheetId="23">
        <row r="8">
          <cell r="D8">
            <v>1858</v>
          </cell>
        </row>
        <row r="14">
          <cell r="D14">
            <v>21153</v>
          </cell>
        </row>
        <row r="15">
          <cell r="D15">
            <v>7500</v>
          </cell>
        </row>
        <row r="18">
          <cell r="D18">
            <v>1694</v>
          </cell>
        </row>
        <row r="19">
          <cell r="D19">
            <v>1108</v>
          </cell>
        </row>
        <row r="20">
          <cell r="D20">
            <v>3772.74</v>
          </cell>
        </row>
        <row r="21">
          <cell r="D21">
            <v>1596</v>
          </cell>
        </row>
        <row r="22">
          <cell r="D22">
            <v>16304</v>
          </cell>
        </row>
        <row r="23">
          <cell r="D23">
            <v>10311</v>
          </cell>
        </row>
        <row r="24">
          <cell r="D24">
            <v>3129.5</v>
          </cell>
        </row>
        <row r="25">
          <cell r="D25">
            <v>1210</v>
          </cell>
        </row>
        <row r="28">
          <cell r="D28">
            <v>10280</v>
          </cell>
        </row>
        <row r="29">
          <cell r="D29">
            <v>2500</v>
          </cell>
        </row>
        <row r="30">
          <cell r="D30">
            <v>0</v>
          </cell>
        </row>
        <row r="31">
          <cell r="D31">
            <v>5858</v>
          </cell>
        </row>
        <row r="32">
          <cell r="D32">
            <v>2500</v>
          </cell>
        </row>
        <row r="33">
          <cell r="D33">
            <v>5395</v>
          </cell>
        </row>
        <row r="34">
          <cell r="D34">
            <v>3000</v>
          </cell>
        </row>
        <row r="35">
          <cell r="D35">
            <v>6000</v>
          </cell>
        </row>
        <row r="36">
          <cell r="D36">
            <v>3745</v>
          </cell>
        </row>
        <row r="37">
          <cell r="D37">
            <v>16800</v>
          </cell>
        </row>
        <row r="38">
          <cell r="D38">
            <v>6030</v>
          </cell>
        </row>
        <row r="39">
          <cell r="D39">
            <v>8000</v>
          </cell>
        </row>
        <row r="40">
          <cell r="D40">
            <v>700</v>
          </cell>
        </row>
        <row r="41">
          <cell r="D41">
            <v>6551</v>
          </cell>
        </row>
        <row r="42">
          <cell r="D42">
            <v>7186</v>
          </cell>
        </row>
        <row r="43">
          <cell r="D43">
            <v>2500</v>
          </cell>
        </row>
        <row r="44">
          <cell r="D44">
            <v>200</v>
          </cell>
        </row>
        <row r="45">
          <cell r="D45">
            <v>0</v>
          </cell>
        </row>
        <row r="48">
          <cell r="D48">
            <v>3074</v>
          </cell>
        </row>
        <row r="49">
          <cell r="D49">
            <v>44474</v>
          </cell>
        </row>
        <row r="52">
          <cell r="D52">
            <v>45010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>
        <row r="41">
          <cell r="D4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3">
          <cell r="D33"/>
        </row>
      </sheetData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 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/>
      <sheetData sheetId="4"/>
      <sheetData sheetId="5"/>
      <sheetData sheetId="6">
        <row r="46">
          <cell r="D46">
            <v>274317</v>
          </cell>
        </row>
      </sheetData>
      <sheetData sheetId="7">
        <row r="46">
          <cell r="D46">
            <v>237234</v>
          </cell>
        </row>
      </sheetData>
      <sheetData sheetId="8">
        <row r="56">
          <cell r="D56">
            <v>456780</v>
          </cell>
        </row>
      </sheetData>
      <sheetData sheetId="9">
        <row r="51">
          <cell r="D51">
            <v>322015</v>
          </cell>
        </row>
      </sheetData>
      <sheetData sheetId="10">
        <row r="40">
          <cell r="D40">
            <v>306831</v>
          </cell>
        </row>
      </sheetData>
      <sheetData sheetId="11">
        <row r="49">
          <cell r="D49">
            <v>430599</v>
          </cell>
        </row>
      </sheetData>
      <sheetData sheetId="12">
        <row r="47">
          <cell r="D47">
            <v>547942</v>
          </cell>
        </row>
      </sheetData>
      <sheetData sheetId="13">
        <row r="35">
          <cell r="D35">
            <v>471699</v>
          </cell>
        </row>
      </sheetData>
      <sheetData sheetId="14">
        <row r="33">
          <cell r="D33">
            <v>239020</v>
          </cell>
        </row>
      </sheetData>
      <sheetData sheetId="15">
        <row r="36">
          <cell r="D36">
            <v>194209</v>
          </cell>
        </row>
      </sheetData>
      <sheetData sheetId="16">
        <row r="58">
          <cell r="D58">
            <v>331100</v>
          </cell>
        </row>
      </sheetData>
      <sheetData sheetId="17"/>
      <sheetData sheetId="18">
        <row r="39">
          <cell r="D39">
            <v>297132</v>
          </cell>
        </row>
      </sheetData>
      <sheetData sheetId="19">
        <row r="45">
          <cell r="D45">
            <v>318581</v>
          </cell>
        </row>
      </sheetData>
      <sheetData sheetId="20">
        <row r="77">
          <cell r="D77">
            <v>514588</v>
          </cell>
        </row>
      </sheetData>
      <sheetData sheetId="21">
        <row r="55">
          <cell r="D55">
            <v>515937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 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E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6">
          <cell r="D56">
            <v>764357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XledgerData" displayName="XledgerData" ref="A1:E441" totalsRowShown="0" headerRowDxfId="6" dataDxfId="5">
  <sortState xmlns:xlrd2="http://schemas.microsoft.com/office/spreadsheetml/2017/richdata2" ref="A2:E441">
    <sortCondition descending="1" ref="D2:D441"/>
  </sortState>
  <tableColumns count="5">
    <tableColumn id="1" xr3:uid="{00000000-0010-0000-0000-000001000000}" name="Code" dataDxfId="4">
      <calculatedColumnFormula>LEFT(B2,FIND(" ",B2,1))</calculatedColumnFormula>
    </tableColumn>
    <tableColumn id="2" xr3:uid="{00000000-0010-0000-0000-000002000000}" name="Project" dataDxfId="3"/>
    <tableColumn id="3" xr3:uid="{00000000-0010-0000-0000-000003000000}" name="Year to date" dataDxfId="2" dataCellStyle="Comma"/>
    <tableColumn id="4" xr3:uid="{00000000-0010-0000-0000-000004000000}" name="Column1" dataDxfId="1"/>
    <tableColumn id="5" xr3:uid="{00000000-0010-0000-0000-000005000000}" name="Column2" dataDxfId="0">
      <calculatedColumnFormula>XledgerData[[#This Row],[Column1]]+XledgerData[[#This Row],[Year to date]]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showGridLines="0" tabSelected="1" topLeftCell="A25" zoomScaleNormal="100" workbookViewId="0">
      <selection activeCell="E37" sqref="E37"/>
    </sheetView>
  </sheetViews>
  <sheetFormatPr defaultRowHeight="14" x14ac:dyDescent="0.3"/>
  <cols>
    <col min="1" max="1" width="22.58203125" bestFit="1" customWidth="1"/>
    <col min="2" max="2" width="14" bestFit="1" customWidth="1"/>
    <col min="3" max="3" width="14" style="24" customWidth="1"/>
    <col min="4" max="4" width="15.33203125" style="24" bestFit="1" customWidth="1"/>
    <col min="5" max="5" width="15.58203125" customWidth="1"/>
    <col min="6" max="6" width="15" bestFit="1" customWidth="1"/>
    <col min="7" max="7" width="18.08203125" style="8" customWidth="1"/>
    <col min="8" max="8" width="17.75" style="8" customWidth="1"/>
    <col min="9" max="9" width="9" hidden="1" customWidth="1"/>
    <col min="10" max="10" width="2.33203125" hidden="1" customWidth="1"/>
    <col min="11" max="11" width="14.5" hidden="1" customWidth="1"/>
    <col min="12" max="12" width="9" hidden="1" customWidth="1"/>
    <col min="13" max="13" width="9" customWidth="1"/>
    <col min="14" max="14" width="18.5" bestFit="1" customWidth="1"/>
    <col min="15" max="15" width="12" bestFit="1" customWidth="1"/>
  </cols>
  <sheetData>
    <row r="1" spans="1:14" s="2" customFormat="1" ht="22.5" x14ac:dyDescent="0.45">
      <c r="A1" s="638" t="s">
        <v>1640</v>
      </c>
      <c r="B1" s="638"/>
      <c r="C1" s="638"/>
      <c r="D1" s="638"/>
      <c r="E1" s="638"/>
      <c r="F1" s="56"/>
      <c r="G1" s="57"/>
      <c r="H1" s="57"/>
      <c r="I1" s="56"/>
      <c r="J1" s="56"/>
      <c r="K1" s="56"/>
      <c r="L1" s="56"/>
      <c r="M1" s="56"/>
      <c r="N1" s="56"/>
    </row>
    <row r="2" spans="1:14" x14ac:dyDescent="0.3">
      <c r="A2" s="58"/>
      <c r="B2" s="58"/>
      <c r="C2" s="58"/>
      <c r="D2" s="58"/>
      <c r="E2" s="58"/>
      <c r="F2" s="58"/>
      <c r="G2" s="59"/>
      <c r="H2" s="59"/>
      <c r="I2" s="58">
        <f>MONTH(Period)</f>
        <v>7</v>
      </c>
      <c r="J2" s="58"/>
      <c r="K2" s="58" t="s">
        <v>558</v>
      </c>
      <c r="L2" s="59">
        <f>ROUND((1/12*I2),4)</f>
        <v>0.58330000000000004</v>
      </c>
      <c r="M2" s="58"/>
      <c r="N2" s="58"/>
    </row>
    <row r="3" spans="1:14" s="1" customFormat="1" ht="17.5" x14ac:dyDescent="0.35">
      <c r="A3" s="637" t="s">
        <v>26</v>
      </c>
      <c r="B3" s="637"/>
      <c r="C3" s="635">
        <v>44043</v>
      </c>
      <c r="D3" s="635"/>
      <c r="E3" s="60"/>
      <c r="F3" s="60"/>
      <c r="G3" s="61"/>
      <c r="H3" s="61"/>
      <c r="I3" s="60"/>
      <c r="J3" s="60"/>
      <c r="K3" s="58" t="s">
        <v>559</v>
      </c>
      <c r="L3" s="59">
        <f>ROUND((1/12*($I$2-1)),4)</f>
        <v>0.5</v>
      </c>
      <c r="M3" s="60"/>
      <c r="N3" s="58"/>
    </row>
    <row r="4" spans="1:14" ht="14.5" thickBot="1" x14ac:dyDescent="0.35">
      <c r="A4" s="58"/>
      <c r="B4" s="58"/>
      <c r="C4" s="58"/>
      <c r="D4" s="58"/>
      <c r="E4" s="58"/>
      <c r="F4" s="58"/>
      <c r="G4" s="59"/>
      <c r="H4" s="59"/>
      <c r="I4" s="58"/>
      <c r="J4" s="58"/>
      <c r="K4" s="59" t="s">
        <v>560</v>
      </c>
      <c r="L4" s="59">
        <f>ROUND((1/12*($I$2-2)),4)</f>
        <v>0.41670000000000001</v>
      </c>
      <c r="M4" s="58"/>
      <c r="N4" s="58"/>
    </row>
    <row r="5" spans="1:14" s="3" customFormat="1" ht="28.5" customHeight="1" thickBot="1" x14ac:dyDescent="0.35">
      <c r="A5" s="82" t="s">
        <v>0</v>
      </c>
      <c r="B5" s="84" t="s">
        <v>1</v>
      </c>
      <c r="C5" s="85" t="s">
        <v>620</v>
      </c>
      <c r="D5" s="84" t="s">
        <v>617</v>
      </c>
      <c r="E5" s="84" t="s">
        <v>2</v>
      </c>
      <c r="F5" s="84" t="s">
        <v>3</v>
      </c>
      <c r="G5" s="86" t="s">
        <v>1389</v>
      </c>
      <c r="H5" s="83" t="s">
        <v>1517</v>
      </c>
      <c r="I5" s="62"/>
      <c r="J5" s="62"/>
      <c r="K5" s="63" t="s">
        <v>561</v>
      </c>
      <c r="L5" s="59">
        <f>ROUND((1/12*($I$2-3)),4)</f>
        <v>0.33329999999999999</v>
      </c>
      <c r="M5" s="62"/>
      <c r="N5" s="62"/>
    </row>
    <row r="6" spans="1:14" ht="6" customHeight="1" x14ac:dyDescent="0.3">
      <c r="A6" s="58"/>
      <c r="B6" s="80"/>
      <c r="C6" s="80"/>
      <c r="D6" s="80"/>
      <c r="E6" s="80"/>
      <c r="F6" s="80"/>
      <c r="G6" s="81"/>
      <c r="H6" s="81"/>
      <c r="I6" s="58"/>
      <c r="J6" s="58"/>
      <c r="K6" s="58"/>
      <c r="L6" s="58"/>
      <c r="M6" s="58"/>
      <c r="N6" s="58"/>
    </row>
    <row r="7" spans="1:14" x14ac:dyDescent="0.3">
      <c r="A7" s="354" t="s">
        <v>5</v>
      </c>
      <c r="B7" s="71">
        <f>'Bosmere '!D44</f>
        <v>329269</v>
      </c>
      <c r="C7" s="71">
        <f>'Bosmere '!D13</f>
        <v>-27180</v>
      </c>
      <c r="D7" s="71">
        <f>SUM(B7:C7)</f>
        <v>302089</v>
      </c>
      <c r="E7" s="71">
        <f>'Bosmere '!E44</f>
        <v>108210.14</v>
      </c>
      <c r="F7" s="71">
        <f>D7-E7</f>
        <v>193878.86</v>
      </c>
      <c r="G7" s="212">
        <f>E7/D7</f>
        <v>0.35820615778793669</v>
      </c>
      <c r="H7" s="213">
        <f>E7/B7</f>
        <v>0.32863749700093237</v>
      </c>
      <c r="I7" s="58"/>
      <c r="J7" s="58"/>
      <c r="K7" s="58"/>
      <c r="L7" s="58"/>
      <c r="M7" s="58"/>
      <c r="N7" s="58"/>
    </row>
    <row r="8" spans="1:14" x14ac:dyDescent="0.3">
      <c r="A8" s="355" t="s">
        <v>6</v>
      </c>
      <c r="B8" s="71">
        <f>Clare!D48</f>
        <v>289359</v>
      </c>
      <c r="C8" s="71">
        <f>Clare!D10</f>
        <v>-31084</v>
      </c>
      <c r="D8" s="71">
        <f t="shared" ref="D8:D15" si="0">SUM(B8:C8)</f>
        <v>258275</v>
      </c>
      <c r="E8" s="71">
        <f>Clare!E48</f>
        <v>86347.5</v>
      </c>
      <c r="F8" s="71">
        <f t="shared" ref="F8:F15" si="1">D8-E8</f>
        <v>171927.5</v>
      </c>
      <c r="G8" s="212">
        <f t="shared" ref="G8:G15" si="2">E8/D8</f>
        <v>0.33432387958571291</v>
      </c>
      <c r="H8" s="213">
        <f t="shared" ref="H8:H15" si="3">E8/B8</f>
        <v>0.29840958808953583</v>
      </c>
      <c r="I8" s="58"/>
      <c r="J8" s="58"/>
      <c r="K8" s="58"/>
      <c r="L8" s="58"/>
      <c r="M8" s="58"/>
      <c r="N8" s="58"/>
    </row>
    <row r="9" spans="1:14" x14ac:dyDescent="0.3">
      <c r="A9" s="355" t="s">
        <v>7</v>
      </c>
      <c r="B9" s="71">
        <f>Hadleigh!D44</f>
        <v>299552</v>
      </c>
      <c r="C9" s="71">
        <v>0</v>
      </c>
      <c r="D9" s="71">
        <f t="shared" si="0"/>
        <v>299552</v>
      </c>
      <c r="E9" s="71">
        <f>Hadleigh!E44</f>
        <v>145875</v>
      </c>
      <c r="F9" s="71">
        <f t="shared" si="1"/>
        <v>153677</v>
      </c>
      <c r="G9" s="212">
        <f t="shared" si="2"/>
        <v>0.48697721931417581</v>
      </c>
      <c r="H9" s="213">
        <f t="shared" si="3"/>
        <v>0.48697721931417581</v>
      </c>
      <c r="I9" s="58"/>
      <c r="J9" s="58"/>
      <c r="K9" s="58"/>
      <c r="L9" s="58"/>
      <c r="M9" s="58"/>
      <c r="N9" s="58"/>
    </row>
    <row r="10" spans="1:14" x14ac:dyDescent="0.3">
      <c r="A10" s="355" t="s">
        <v>8</v>
      </c>
      <c r="B10" s="71">
        <f>Ixworth!D45</f>
        <v>243096</v>
      </c>
      <c r="C10" s="71">
        <v>0</v>
      </c>
      <c r="D10" s="71">
        <f t="shared" si="0"/>
        <v>243096</v>
      </c>
      <c r="E10" s="71">
        <f>Ixworth!E45</f>
        <v>100459</v>
      </c>
      <c r="F10" s="71">
        <f t="shared" si="1"/>
        <v>142637</v>
      </c>
      <c r="G10" s="212">
        <f t="shared" si="2"/>
        <v>0.41324826406028892</v>
      </c>
      <c r="H10" s="213">
        <f t="shared" si="3"/>
        <v>0.41324826406028892</v>
      </c>
      <c r="I10" s="58"/>
      <c r="J10" s="58"/>
      <c r="K10" s="58"/>
      <c r="L10" s="58"/>
      <c r="M10" s="58"/>
      <c r="N10" s="58"/>
    </row>
    <row r="11" spans="1:14" x14ac:dyDescent="0.3">
      <c r="A11" s="355" t="s">
        <v>9</v>
      </c>
      <c r="B11" s="71">
        <f>Lavenham!D52</f>
        <v>503590</v>
      </c>
      <c r="C11" s="71">
        <f>Lavenham!D45</f>
        <v>-22663</v>
      </c>
      <c r="D11" s="71">
        <f t="shared" si="0"/>
        <v>480927</v>
      </c>
      <c r="E11" s="71">
        <f>Lavenham!E52</f>
        <v>211287.63</v>
      </c>
      <c r="F11" s="71">
        <f t="shared" si="1"/>
        <v>269639.37</v>
      </c>
      <c r="G11" s="212">
        <f t="shared" si="2"/>
        <v>0.43933409852222893</v>
      </c>
      <c r="H11" s="213">
        <f t="shared" si="3"/>
        <v>0.41956279910244448</v>
      </c>
      <c r="I11" s="58"/>
      <c r="J11" s="58"/>
      <c r="K11" s="58"/>
      <c r="L11" s="58"/>
      <c r="M11" s="58"/>
      <c r="N11" s="58"/>
    </row>
    <row r="12" spans="1:14" x14ac:dyDescent="0.3">
      <c r="A12" s="355" t="s">
        <v>10</v>
      </c>
      <c r="B12" s="71">
        <f>Mildenhall!D44</f>
        <v>368656</v>
      </c>
      <c r="C12" s="71">
        <f>Mildenhall!D9+Mildenhall!D33</f>
        <v>-60776</v>
      </c>
      <c r="D12" s="71">
        <f t="shared" si="0"/>
        <v>307880</v>
      </c>
      <c r="E12" s="71">
        <f>Mildenhall!E44</f>
        <v>145598.44</v>
      </c>
      <c r="F12" s="71">
        <f t="shared" si="1"/>
        <v>162281.56</v>
      </c>
      <c r="G12" s="212">
        <f t="shared" si="2"/>
        <v>0.47290645706119266</v>
      </c>
      <c r="H12" s="213">
        <f t="shared" si="3"/>
        <v>0.3949439043444295</v>
      </c>
      <c r="I12" s="58"/>
      <c r="J12" s="58"/>
      <c r="K12" s="58"/>
      <c r="L12" s="58"/>
      <c r="M12" s="58"/>
      <c r="N12" s="58"/>
    </row>
    <row r="13" spans="1:14" x14ac:dyDescent="0.3">
      <c r="A13" s="355" t="s">
        <v>11</v>
      </c>
      <c r="B13" s="71">
        <f>Stowmarket!D38</f>
        <v>344223</v>
      </c>
      <c r="C13" s="71">
        <f>Stowmarket!D31</f>
        <v>-20950</v>
      </c>
      <c r="D13" s="71">
        <f t="shared" si="0"/>
        <v>323273</v>
      </c>
      <c r="E13" s="71">
        <f>Stowmarket!E38</f>
        <v>175452</v>
      </c>
      <c r="F13" s="71">
        <f t="shared" si="1"/>
        <v>147821</v>
      </c>
      <c r="G13" s="212">
        <f t="shared" si="2"/>
        <v>0.54273632502559754</v>
      </c>
      <c r="H13" s="213">
        <f t="shared" si="3"/>
        <v>0.50970446483820087</v>
      </c>
      <c r="I13" s="58"/>
      <c r="J13" s="58"/>
      <c r="K13" s="58"/>
      <c r="L13" s="58"/>
      <c r="M13" s="58"/>
      <c r="N13" s="58"/>
    </row>
    <row r="14" spans="1:14" x14ac:dyDescent="0.3">
      <c r="A14" s="355" t="s">
        <v>12</v>
      </c>
      <c r="B14" s="71">
        <f>Sudbury!D47</f>
        <v>476014</v>
      </c>
      <c r="C14" s="71">
        <f>Sudbury!D10+Sudbury!D34+Sudbury!D38+Sudbury!D30</f>
        <v>-58020</v>
      </c>
      <c r="D14" s="71">
        <f t="shared" si="0"/>
        <v>417994</v>
      </c>
      <c r="E14" s="71">
        <f>Sudbury!E47</f>
        <v>182948.6</v>
      </c>
      <c r="F14" s="71">
        <f t="shared" si="1"/>
        <v>235045.4</v>
      </c>
      <c r="G14" s="212">
        <f t="shared" si="2"/>
        <v>0.43768235907692454</v>
      </c>
      <c r="H14" s="213">
        <f t="shared" si="3"/>
        <v>0.38433449436361117</v>
      </c>
      <c r="I14" s="58"/>
      <c r="J14" s="58"/>
      <c r="K14" s="58"/>
      <c r="L14" s="58"/>
      <c r="M14" s="58"/>
      <c r="N14" s="58"/>
    </row>
    <row r="15" spans="1:14" x14ac:dyDescent="0.3">
      <c r="A15" s="355" t="s">
        <v>13</v>
      </c>
      <c r="B15" s="71">
        <f>Thingoe!D47-Thingoe!D45</f>
        <v>540702</v>
      </c>
      <c r="C15" s="71">
        <f>Thingoe!D45</f>
        <v>-14721</v>
      </c>
      <c r="D15" s="71">
        <f t="shared" si="0"/>
        <v>525981</v>
      </c>
      <c r="E15" s="71">
        <f>Thingoe!E47</f>
        <v>295546.3</v>
      </c>
      <c r="F15" s="71">
        <f t="shared" si="1"/>
        <v>230434.7</v>
      </c>
      <c r="G15" s="212">
        <f t="shared" si="2"/>
        <v>0.561895391658634</v>
      </c>
      <c r="H15" s="213">
        <f t="shared" si="3"/>
        <v>0.54659738636069399</v>
      </c>
      <c r="I15" s="58"/>
      <c r="J15" s="58"/>
      <c r="K15" s="58"/>
      <c r="L15" s="58"/>
      <c r="M15" s="58"/>
      <c r="N15" s="58"/>
    </row>
    <row r="16" spans="1:14" ht="6.75" customHeight="1" x14ac:dyDescent="0.3">
      <c r="A16" s="72"/>
      <c r="B16" s="72"/>
      <c r="C16" s="72"/>
      <c r="D16" s="72"/>
      <c r="E16" s="72"/>
      <c r="F16" s="72"/>
      <c r="G16" s="69"/>
      <c r="H16" s="65"/>
      <c r="I16" s="58"/>
      <c r="J16" s="58"/>
      <c r="K16" s="58"/>
      <c r="L16" s="58"/>
      <c r="M16" s="58"/>
      <c r="N16" s="58"/>
    </row>
    <row r="17" spans="1:14" s="3" customFormat="1" ht="14.5" thickBot="1" x14ac:dyDescent="0.35">
      <c r="A17" s="87" t="s">
        <v>14</v>
      </c>
      <c r="B17" s="88">
        <f>SUM(B7:B15)</f>
        <v>3394461</v>
      </c>
      <c r="C17" s="88">
        <f>SUM(C7:C16)</f>
        <v>-235394</v>
      </c>
      <c r="D17" s="88">
        <f>SUM(B17:C17)</f>
        <v>3159067</v>
      </c>
      <c r="E17" s="88">
        <f>SUM(E7:E15)</f>
        <v>1451724.61</v>
      </c>
      <c r="F17" s="88">
        <f>D17-E17</f>
        <v>1707342.39</v>
      </c>
      <c r="G17" s="214">
        <f>E17/D17</f>
        <v>0.45954220344171243</v>
      </c>
      <c r="H17" s="215">
        <f>E17/B17</f>
        <v>0.42767455864126885</v>
      </c>
      <c r="I17" s="62"/>
      <c r="J17" s="62"/>
      <c r="K17" s="62"/>
      <c r="L17" s="62"/>
      <c r="M17" s="62"/>
      <c r="N17" s="62"/>
    </row>
    <row r="18" spans="1:14" ht="8.15" customHeight="1" x14ac:dyDescent="0.3">
      <c r="A18" s="75"/>
      <c r="B18" s="71"/>
      <c r="C18" s="71"/>
      <c r="D18" s="71"/>
      <c r="E18" s="71"/>
      <c r="F18" s="71"/>
      <c r="G18" s="68"/>
      <c r="H18" s="64"/>
      <c r="I18" s="58"/>
      <c r="J18" s="58"/>
      <c r="K18" s="58"/>
      <c r="L18" s="58"/>
      <c r="M18" s="58"/>
      <c r="N18" s="58"/>
    </row>
    <row r="19" spans="1:14" x14ac:dyDescent="0.3">
      <c r="A19" s="355" t="s">
        <v>15</v>
      </c>
      <c r="B19" s="71">
        <f>Colneys!D37</f>
        <v>481672</v>
      </c>
      <c r="C19" s="71">
        <v>0</v>
      </c>
      <c r="D19" s="71">
        <f>SUM(B19:C19)</f>
        <v>481672</v>
      </c>
      <c r="E19" s="71">
        <f>Colneys!E37</f>
        <v>231567.48</v>
      </c>
      <c r="F19" s="71">
        <f t="shared" ref="F19:F26" si="4">D19-E19</f>
        <v>250104.52</v>
      </c>
      <c r="G19" s="212">
        <f>E19/D19</f>
        <v>0.48075761098839048</v>
      </c>
      <c r="H19" s="213">
        <f>E19/B19</f>
        <v>0.48075761098839048</v>
      </c>
      <c r="I19" s="58"/>
      <c r="J19" s="58"/>
      <c r="K19" s="58"/>
      <c r="L19" s="58"/>
      <c r="M19" s="58"/>
      <c r="N19" s="58"/>
    </row>
    <row r="20" spans="1:14" x14ac:dyDescent="0.3">
      <c r="A20" s="355" t="s">
        <v>16</v>
      </c>
      <c r="B20" s="71">
        <f>Hartismere!D33</f>
        <v>250080</v>
      </c>
      <c r="C20" s="71">
        <v>0</v>
      </c>
      <c r="D20" s="71">
        <f t="shared" ref="D20:D26" si="5">SUM(B20:C20)</f>
        <v>250080</v>
      </c>
      <c r="E20" s="71">
        <f>Hartismere!E33</f>
        <v>66937</v>
      </c>
      <c r="F20" s="71">
        <f t="shared" si="4"/>
        <v>183143</v>
      </c>
      <c r="G20" s="212">
        <f t="shared" ref="G20:G26" si="6">E20/D20</f>
        <v>0.26766234804862443</v>
      </c>
      <c r="H20" s="213">
        <f t="shared" ref="H20:H26" si="7">E20/B20</f>
        <v>0.26766234804862443</v>
      </c>
      <c r="I20" s="58"/>
      <c r="J20" s="58"/>
      <c r="K20" s="58"/>
      <c r="L20" s="58"/>
      <c r="M20" s="58"/>
      <c r="N20" s="58"/>
    </row>
    <row r="21" spans="1:14" x14ac:dyDescent="0.3">
      <c r="A21" s="355" t="s">
        <v>17</v>
      </c>
      <c r="B21" s="71">
        <f>Hoxne!D37</f>
        <v>202710</v>
      </c>
      <c r="C21" s="71">
        <v>0</v>
      </c>
      <c r="D21" s="71">
        <f t="shared" si="5"/>
        <v>202710</v>
      </c>
      <c r="E21" s="71">
        <f>Hoxne!E37</f>
        <v>56726</v>
      </c>
      <c r="F21" s="71">
        <f t="shared" si="4"/>
        <v>145984</v>
      </c>
      <c r="G21" s="212">
        <f t="shared" si="6"/>
        <v>0.27983819249173697</v>
      </c>
      <c r="H21" s="213">
        <f t="shared" si="7"/>
        <v>0.27983819249173697</v>
      </c>
      <c r="I21" s="58"/>
      <c r="J21" s="58"/>
      <c r="K21" s="58"/>
      <c r="L21" s="58"/>
      <c r="M21" s="58"/>
      <c r="N21" s="58"/>
    </row>
    <row r="22" spans="1:14" x14ac:dyDescent="0.3">
      <c r="A22" s="355" t="s">
        <v>19</v>
      </c>
      <c r="B22" s="71">
        <f>Loes!D55</f>
        <v>352124</v>
      </c>
      <c r="C22" s="71">
        <f>Loes!D20</f>
        <v>-9888</v>
      </c>
      <c r="D22" s="71">
        <f t="shared" si="5"/>
        <v>342236</v>
      </c>
      <c r="E22" s="71">
        <f>Loes!E55</f>
        <v>163819.9</v>
      </c>
      <c r="F22" s="71">
        <f t="shared" si="4"/>
        <v>178416.1</v>
      </c>
      <c r="G22" s="212">
        <f t="shared" si="6"/>
        <v>0.47867524164611552</v>
      </c>
      <c r="H22" s="213">
        <f t="shared" si="7"/>
        <v>0.46523355408890049</v>
      </c>
      <c r="I22" s="58"/>
      <c r="J22" s="58"/>
      <c r="K22" s="58"/>
      <c r="L22" s="58"/>
      <c r="M22" s="58"/>
      <c r="N22" s="58"/>
    </row>
    <row r="23" spans="1:14" x14ac:dyDescent="0.3">
      <c r="A23" s="355" t="s">
        <v>20</v>
      </c>
      <c r="B23" s="71">
        <f>Samford!D37</f>
        <v>307281</v>
      </c>
      <c r="C23" s="71">
        <v>0</v>
      </c>
      <c r="D23" s="71">
        <f t="shared" si="5"/>
        <v>307281</v>
      </c>
      <c r="E23" s="71">
        <f>Samford!E37</f>
        <v>101932.87</v>
      </c>
      <c r="F23" s="71">
        <f t="shared" si="4"/>
        <v>205348.13</v>
      </c>
      <c r="G23" s="212">
        <f t="shared" si="6"/>
        <v>0.33172526124296653</v>
      </c>
      <c r="H23" s="213">
        <f t="shared" si="7"/>
        <v>0.33172526124296653</v>
      </c>
      <c r="I23" s="58"/>
      <c r="J23" s="58"/>
      <c r="K23" s="58"/>
      <c r="L23" s="58"/>
      <c r="M23" s="58"/>
      <c r="N23" s="58"/>
    </row>
    <row r="24" spans="1:14" x14ac:dyDescent="0.3">
      <c r="A24" s="355" t="s">
        <v>21</v>
      </c>
      <c r="B24" s="71">
        <f>Saxmundham!D41</f>
        <v>347138</v>
      </c>
      <c r="C24" s="71">
        <f>Saxmundham!D25</f>
        <v>-18826</v>
      </c>
      <c r="D24" s="71">
        <f t="shared" si="5"/>
        <v>328312</v>
      </c>
      <c r="E24" s="71">
        <f>Saxmundham!E41</f>
        <v>171718.21</v>
      </c>
      <c r="F24" s="71">
        <f t="shared" si="4"/>
        <v>156593.79</v>
      </c>
      <c r="G24" s="212">
        <f t="shared" si="6"/>
        <v>0.52303360827505541</v>
      </c>
      <c r="H24" s="213">
        <f t="shared" si="7"/>
        <v>0.49466843157476276</v>
      </c>
      <c r="I24" s="58"/>
      <c r="J24" s="58"/>
      <c r="K24" s="58"/>
      <c r="L24" s="58"/>
      <c r="M24" s="58"/>
      <c r="N24" s="58"/>
    </row>
    <row r="25" spans="1:14" x14ac:dyDescent="0.3">
      <c r="A25" s="355" t="s">
        <v>22</v>
      </c>
      <c r="B25" s="71">
        <f>'Waveney &amp; Blyth'!D80</f>
        <v>537464</v>
      </c>
      <c r="C25" s="71">
        <v>0</v>
      </c>
      <c r="D25" s="71">
        <f t="shared" si="5"/>
        <v>537464</v>
      </c>
      <c r="E25" s="71">
        <f>'Waveney &amp; Blyth'!E80</f>
        <v>171793.81</v>
      </c>
      <c r="F25" s="71">
        <f t="shared" si="4"/>
        <v>365670.19</v>
      </c>
      <c r="G25" s="212">
        <f t="shared" si="6"/>
        <v>0.31963779899677003</v>
      </c>
      <c r="H25" s="213">
        <f t="shared" si="7"/>
        <v>0.31963779899677003</v>
      </c>
      <c r="I25" s="58"/>
      <c r="J25" s="58"/>
      <c r="K25" s="58"/>
      <c r="L25" s="58"/>
      <c r="M25" s="58"/>
      <c r="N25" s="58"/>
    </row>
    <row r="26" spans="1:14" x14ac:dyDescent="0.3">
      <c r="A26" s="355" t="s">
        <v>23</v>
      </c>
      <c r="B26" s="71">
        <f>Woodbridge!D51</f>
        <v>474836</v>
      </c>
      <c r="C26" s="71">
        <v>0</v>
      </c>
      <c r="D26" s="71">
        <f t="shared" si="5"/>
        <v>474836</v>
      </c>
      <c r="E26" s="71">
        <f>Woodbridge!E51</f>
        <v>249439.24</v>
      </c>
      <c r="F26" s="71">
        <f t="shared" si="4"/>
        <v>225396.76</v>
      </c>
      <c r="G26" s="212">
        <f t="shared" si="6"/>
        <v>0.52531661457850709</v>
      </c>
      <c r="H26" s="213">
        <f t="shared" si="7"/>
        <v>0.52531661457850709</v>
      </c>
      <c r="I26" s="58"/>
      <c r="J26" s="58"/>
      <c r="K26" s="58"/>
      <c r="L26" s="58"/>
      <c r="M26" s="58"/>
      <c r="N26" s="58"/>
    </row>
    <row r="27" spans="1:14" ht="7.5" customHeight="1" x14ac:dyDescent="0.3">
      <c r="A27" s="72"/>
      <c r="B27" s="72"/>
      <c r="C27" s="72"/>
      <c r="D27" s="72"/>
      <c r="E27" s="72"/>
      <c r="F27" s="72"/>
      <c r="G27" s="69"/>
      <c r="H27" s="65"/>
      <c r="I27" s="58"/>
      <c r="J27" s="58"/>
      <c r="K27" s="58"/>
      <c r="L27" s="58"/>
      <c r="M27" s="58"/>
      <c r="N27" s="58"/>
    </row>
    <row r="28" spans="1:14" s="3" customFormat="1" ht="14.5" thickBot="1" x14ac:dyDescent="0.35">
      <c r="A28" s="87" t="s">
        <v>24</v>
      </c>
      <c r="B28" s="88">
        <f>SUM(B19:B26)</f>
        <v>2953305</v>
      </c>
      <c r="C28" s="88">
        <f>SUM(C19:C27)</f>
        <v>-28714</v>
      </c>
      <c r="D28" s="88">
        <f>SUM(B28:C28)</f>
        <v>2924591</v>
      </c>
      <c r="E28" s="88">
        <f>SUM(E19:E26)</f>
        <v>1213934.51</v>
      </c>
      <c r="F28" s="88">
        <f>D28-E28</f>
        <v>1710656.49</v>
      </c>
      <c r="G28" s="214">
        <f>E28/D28</f>
        <v>0.4150783853195199</v>
      </c>
      <c r="H28" s="215">
        <f>E28/B28</f>
        <v>0.41104271654976376</v>
      </c>
      <c r="I28" s="62"/>
      <c r="J28" s="62"/>
      <c r="K28" s="62"/>
      <c r="L28" s="62"/>
      <c r="M28" s="62"/>
      <c r="N28" s="62"/>
    </row>
    <row r="29" spans="1:14" s="3" customFormat="1" x14ac:dyDescent="0.3">
      <c r="A29" s="76"/>
      <c r="B29" s="73"/>
      <c r="C29" s="73"/>
      <c r="D29" s="73"/>
      <c r="E29" s="73"/>
      <c r="F29" s="73"/>
      <c r="G29" s="70"/>
      <c r="H29" s="66"/>
      <c r="I29" s="62"/>
      <c r="J29" s="62"/>
      <c r="K29" s="62"/>
      <c r="L29" s="62"/>
      <c r="M29" s="62"/>
      <c r="N29" s="62"/>
    </row>
    <row r="30" spans="1:14" s="3" customFormat="1" x14ac:dyDescent="0.3">
      <c r="A30" s="355" t="s">
        <v>18</v>
      </c>
      <c r="B30" s="276">
        <f>Ipswich!D48+Ipswich!D52</f>
        <v>868962</v>
      </c>
      <c r="C30" s="71">
        <f>Ipswich!D40+Ipswich!D34+Ipswich!D30</f>
        <v>-85845</v>
      </c>
      <c r="D30" s="71">
        <f>SUM(B30:C30)</f>
        <v>783117</v>
      </c>
      <c r="E30" s="71">
        <f>Ipswich!E54</f>
        <v>341168</v>
      </c>
      <c r="F30" s="71">
        <f>D30-E30</f>
        <v>441949</v>
      </c>
      <c r="G30" s="212">
        <f>E30/D30</f>
        <v>0.43565393166027555</v>
      </c>
      <c r="H30" s="213">
        <f>E30/B30</f>
        <v>0.39261555741217685</v>
      </c>
      <c r="I30" s="62"/>
      <c r="J30" s="62"/>
      <c r="K30" s="62"/>
      <c r="L30" s="62"/>
      <c r="M30" s="62"/>
      <c r="N30" s="62"/>
    </row>
    <row r="31" spans="1:14" s="3" customFormat="1" ht="9" customHeight="1" x14ac:dyDescent="0.3">
      <c r="A31" s="72"/>
      <c r="B31" s="72"/>
      <c r="C31" s="72"/>
      <c r="D31" s="72"/>
      <c r="E31" s="72"/>
      <c r="F31" s="72"/>
      <c r="G31" s="69"/>
      <c r="H31" s="65"/>
      <c r="I31" s="62"/>
      <c r="J31" s="62"/>
      <c r="K31" s="62"/>
      <c r="L31" s="62"/>
      <c r="M31" s="62"/>
      <c r="N31" s="62"/>
    </row>
    <row r="32" spans="1:14" ht="17.25" customHeight="1" thickBot="1" x14ac:dyDescent="0.35">
      <c r="A32" s="87" t="s">
        <v>1468</v>
      </c>
      <c r="B32" s="88">
        <f>B30</f>
        <v>868962</v>
      </c>
      <c r="C32" s="88">
        <f>C30</f>
        <v>-85845</v>
      </c>
      <c r="D32" s="88">
        <f>SUM(B32:C32)</f>
        <v>783117</v>
      </c>
      <c r="E32" s="88">
        <f>E30</f>
        <v>341168</v>
      </c>
      <c r="F32" s="88">
        <f>F30</f>
        <v>441949</v>
      </c>
      <c r="G32" s="214">
        <f>G30</f>
        <v>0.43565393166027555</v>
      </c>
      <c r="H32" s="215">
        <f>H30</f>
        <v>0.39261555741217685</v>
      </c>
      <c r="I32" s="58"/>
      <c r="J32" s="58"/>
      <c r="K32" s="58"/>
      <c r="L32" s="58"/>
      <c r="M32" s="58"/>
      <c r="N32" s="58"/>
    </row>
    <row r="33" spans="1:15" s="24" customFormat="1" ht="6.75" customHeight="1" x14ac:dyDescent="0.3">
      <c r="A33" s="75"/>
      <c r="B33" s="71"/>
      <c r="C33" s="71"/>
      <c r="D33" s="71"/>
      <c r="E33" s="71"/>
      <c r="F33" s="71"/>
      <c r="G33" s="68"/>
      <c r="H33" s="64"/>
      <c r="I33" s="58"/>
      <c r="J33" s="58"/>
      <c r="K33" s="58"/>
      <c r="L33" s="58"/>
      <c r="M33" s="58"/>
      <c r="N33" s="58"/>
    </row>
    <row r="34" spans="1:15" x14ac:dyDescent="0.3">
      <c r="A34" s="75" t="s">
        <v>25</v>
      </c>
      <c r="B34" s="71"/>
      <c r="C34" s="71"/>
      <c r="D34" s="71"/>
      <c r="E34" s="71"/>
      <c r="F34" s="71"/>
      <c r="G34" s="68"/>
      <c r="H34" s="64"/>
      <c r="I34" s="58"/>
      <c r="J34" s="58"/>
      <c r="K34" s="58"/>
      <c r="L34" s="58"/>
      <c r="M34" s="58"/>
      <c r="N34" s="58"/>
    </row>
    <row r="35" spans="1:15" ht="6" customHeight="1" x14ac:dyDescent="0.3">
      <c r="A35" s="75"/>
      <c r="B35" s="71"/>
      <c r="C35" s="71"/>
      <c r="D35" s="71"/>
      <c r="E35" s="71"/>
      <c r="F35" s="71"/>
      <c r="G35" s="68"/>
      <c r="H35" s="64"/>
      <c r="I35" s="58"/>
      <c r="J35" s="58"/>
      <c r="K35" s="58"/>
      <c r="L35" s="58"/>
      <c r="M35" s="58"/>
      <c r="N35" s="58"/>
    </row>
    <row r="36" spans="1:15" ht="6.75" customHeight="1" x14ac:dyDescent="0.3">
      <c r="A36" s="79"/>
      <c r="B36" s="71"/>
      <c r="C36" s="71"/>
      <c r="D36" s="71"/>
      <c r="E36" s="71"/>
      <c r="F36" s="71"/>
      <c r="G36" s="68"/>
      <c r="H36" s="64"/>
      <c r="I36" s="58"/>
      <c r="J36" s="58"/>
      <c r="K36" s="58"/>
      <c r="L36" s="58"/>
      <c r="M36" s="58"/>
      <c r="N36" s="58"/>
    </row>
    <row r="37" spans="1:15" s="3" customFormat="1" ht="14.5" thickBot="1" x14ac:dyDescent="0.35">
      <c r="A37" s="77">
        <f>C3</f>
        <v>44043</v>
      </c>
      <c r="B37" s="74">
        <f>SUM(B17,B28,B34,B32)</f>
        <v>7216728</v>
      </c>
      <c r="C37" s="74">
        <f t="shared" ref="C37:F37" si="8">SUM(C17,C28,C34,C32)</f>
        <v>-349953</v>
      </c>
      <c r="D37" s="74">
        <f t="shared" si="8"/>
        <v>6866775</v>
      </c>
      <c r="E37" s="74">
        <f>SUM(E17,E28,E34,E32)</f>
        <v>3006827.12</v>
      </c>
      <c r="F37" s="74">
        <f t="shared" si="8"/>
        <v>3859947.88</v>
      </c>
      <c r="G37" s="216">
        <f>E37/D37</f>
        <v>0.43788053635076146</v>
      </c>
      <c r="H37" s="217">
        <f>E37/B37</f>
        <v>0.41664686822061192</v>
      </c>
      <c r="I37" s="62"/>
      <c r="J37" s="62"/>
      <c r="K37" s="62"/>
      <c r="L37" s="62"/>
      <c r="M37" s="62"/>
      <c r="N37" s="67"/>
      <c r="O37" s="45"/>
    </row>
    <row r="38" spans="1:15" ht="6.75" customHeight="1" thickTop="1" x14ac:dyDescent="0.3">
      <c r="A38" s="78"/>
      <c r="B38" s="71"/>
      <c r="C38" s="71"/>
      <c r="D38" s="71"/>
      <c r="E38" s="71"/>
      <c r="F38" s="71"/>
      <c r="G38" s="68"/>
      <c r="H38" s="64"/>
      <c r="I38" s="58"/>
      <c r="J38" s="58"/>
      <c r="K38" s="58"/>
      <c r="L38" s="58"/>
      <c r="M38" s="58"/>
      <c r="N38" s="58"/>
    </row>
    <row r="39" spans="1:15" s="3" customFormat="1" ht="14.5" thickBot="1" x14ac:dyDescent="0.35">
      <c r="A39" s="77">
        <v>43677</v>
      </c>
      <c r="B39" s="326">
        <f>[2]Summary!$B$37</f>
        <v>7194483</v>
      </c>
      <c r="C39" s="327">
        <f>[2]Summary!$C$37</f>
        <v>-446911</v>
      </c>
      <c r="D39" s="327">
        <f>B39+C39</f>
        <v>6747572</v>
      </c>
      <c r="E39" s="326">
        <f>[3]Summary!$E$37</f>
        <v>3446405</v>
      </c>
      <c r="F39" s="326">
        <f>D39-E39</f>
        <v>3301167</v>
      </c>
      <c r="G39" s="216">
        <f>E39/D39</f>
        <v>0.5107622415885299</v>
      </c>
      <c r="H39" s="217">
        <f>E39/B39</f>
        <v>0.47903442123638351</v>
      </c>
      <c r="I39" s="62"/>
      <c r="J39" s="62"/>
      <c r="K39" s="62"/>
      <c r="L39" s="62"/>
      <c r="M39" s="62"/>
      <c r="N39" s="62"/>
      <c r="O39" s="45"/>
    </row>
    <row r="40" spans="1:15" ht="6.75" customHeight="1" thickTop="1" x14ac:dyDescent="0.3">
      <c r="A40" s="58"/>
      <c r="B40" s="58"/>
      <c r="C40" s="58"/>
      <c r="D40" s="58"/>
      <c r="E40" s="58"/>
      <c r="F40" s="58"/>
      <c r="G40" s="59"/>
      <c r="H40" s="59"/>
      <c r="I40" s="58"/>
      <c r="J40" s="58"/>
      <c r="K40" s="58"/>
      <c r="L40" s="58"/>
      <c r="M40" s="58"/>
      <c r="N40" s="58"/>
    </row>
    <row r="41" spans="1:15" x14ac:dyDescent="0.3">
      <c r="A41" s="58" t="s">
        <v>27</v>
      </c>
      <c r="B41" s="636" t="s">
        <v>1646</v>
      </c>
      <c r="C41" s="636"/>
      <c r="D41" s="636"/>
      <c r="E41" s="636"/>
      <c r="F41" s="328"/>
      <c r="G41" s="329"/>
      <c r="H41" s="59"/>
      <c r="I41" s="58"/>
      <c r="J41" s="58"/>
      <c r="K41" s="58"/>
      <c r="L41" s="58"/>
      <c r="M41" s="58"/>
      <c r="N41" s="58"/>
    </row>
    <row r="42" spans="1:15" x14ac:dyDescent="0.3">
      <c r="A42" s="58"/>
      <c r="B42" s="58"/>
      <c r="C42" s="58"/>
      <c r="D42" s="58"/>
      <c r="E42" s="418">
        <f>6107797-999</f>
        <v>6106798</v>
      </c>
      <c r="F42" s="419" t="s">
        <v>1604</v>
      </c>
      <c r="G42" s="420"/>
      <c r="H42" s="420"/>
      <c r="I42" s="419"/>
      <c r="J42" s="419"/>
      <c r="K42" s="419"/>
      <c r="L42" s="419"/>
      <c r="M42" s="419"/>
      <c r="N42" s="419"/>
    </row>
    <row r="43" spans="1:15" x14ac:dyDescent="0.3">
      <c r="A43" s="58"/>
      <c r="B43" s="58"/>
      <c r="C43" s="58"/>
      <c r="D43" s="58"/>
      <c r="E43" s="419"/>
      <c r="F43" s="419"/>
      <c r="G43" s="420"/>
      <c r="H43" s="420"/>
      <c r="I43" s="419"/>
      <c r="J43" s="419"/>
      <c r="K43" s="419"/>
      <c r="L43" s="419"/>
      <c r="M43" s="419"/>
      <c r="N43" s="419"/>
    </row>
    <row r="44" spans="1:15" x14ac:dyDescent="0.3">
      <c r="A44" s="58"/>
      <c r="B44" s="58"/>
      <c r="C44" s="58"/>
      <c r="D44" s="440"/>
      <c r="E44" s="417"/>
      <c r="F44" s="441"/>
      <c r="G44" s="442"/>
      <c r="H44" s="420"/>
      <c r="I44" s="419"/>
      <c r="J44" s="419"/>
      <c r="K44" s="419"/>
      <c r="L44" s="419"/>
      <c r="M44" s="419"/>
      <c r="N44" s="419"/>
    </row>
    <row r="45" spans="1:15" x14ac:dyDescent="0.3">
      <c r="A45" s="58"/>
      <c r="B45" s="58"/>
      <c r="C45" s="58"/>
      <c r="D45" s="443"/>
      <c r="E45" s="441"/>
      <c r="F45" s="441"/>
      <c r="G45" s="442"/>
      <c r="H45" s="420"/>
      <c r="I45" s="419"/>
      <c r="J45" s="419"/>
      <c r="K45" s="419"/>
      <c r="L45" s="419"/>
      <c r="M45" s="419"/>
      <c r="N45" s="419"/>
    </row>
    <row r="46" spans="1:15" x14ac:dyDescent="0.3">
      <c r="A46" s="58"/>
      <c r="B46" s="58"/>
      <c r="C46" s="58"/>
      <c r="D46" s="443"/>
      <c r="E46" s="417"/>
      <c r="F46" s="441"/>
      <c r="G46" s="442"/>
      <c r="H46" s="420"/>
      <c r="I46" s="419"/>
      <c r="J46" s="419"/>
      <c r="K46" s="419"/>
      <c r="L46" s="419"/>
      <c r="M46" s="419"/>
      <c r="N46" s="419"/>
    </row>
    <row r="47" spans="1:15" x14ac:dyDescent="0.3">
      <c r="A47" s="58"/>
      <c r="B47" s="58"/>
      <c r="C47" s="58"/>
      <c r="D47" s="443"/>
      <c r="E47" s="441"/>
      <c r="F47" s="441"/>
      <c r="G47" s="442"/>
      <c r="H47" s="420"/>
      <c r="I47" s="419"/>
      <c r="J47" s="419"/>
      <c r="K47" s="419"/>
      <c r="L47" s="419"/>
      <c r="M47" s="419"/>
      <c r="N47" s="419"/>
    </row>
    <row r="48" spans="1:15" s="24" customFormat="1" x14ac:dyDescent="0.3">
      <c r="A48" s="58"/>
      <c r="B48" s="58"/>
      <c r="C48" s="58"/>
      <c r="D48" s="443"/>
      <c r="E48" s="417"/>
      <c r="F48" s="441"/>
      <c r="G48" s="442"/>
      <c r="H48" s="420"/>
      <c r="I48" s="419"/>
      <c r="J48" s="419"/>
      <c r="K48" s="419"/>
      <c r="L48" s="419"/>
      <c r="M48" s="419"/>
      <c r="N48" s="419"/>
    </row>
    <row r="49" spans="1:14" s="24" customFormat="1" x14ac:dyDescent="0.3">
      <c r="A49" s="58"/>
      <c r="B49" s="58"/>
      <c r="C49" s="58"/>
      <c r="D49" s="443"/>
      <c r="E49" s="441"/>
      <c r="F49" s="441"/>
      <c r="G49" s="442"/>
      <c r="H49" s="420"/>
      <c r="I49" s="419"/>
      <c r="J49" s="419"/>
      <c r="K49" s="419"/>
      <c r="L49" s="419"/>
      <c r="M49" s="419"/>
      <c r="N49" s="419"/>
    </row>
    <row r="50" spans="1:14" x14ac:dyDescent="0.3">
      <c r="D50" s="52"/>
      <c r="E50" s="444"/>
      <c r="F50" s="444"/>
      <c r="G50" s="442"/>
      <c r="H50" s="420"/>
      <c r="I50" s="419"/>
      <c r="J50" s="419"/>
      <c r="K50" s="419"/>
      <c r="L50" s="419"/>
      <c r="M50" s="419"/>
      <c r="N50" s="419"/>
    </row>
    <row r="51" spans="1:14" x14ac:dyDescent="0.3">
      <c r="D51" s="52"/>
    </row>
    <row r="52" spans="1:14" x14ac:dyDescent="0.3">
      <c r="D52" s="52"/>
      <c r="E52" s="441"/>
      <c r="F52" s="441"/>
      <c r="G52" s="442"/>
      <c r="H52" s="420"/>
      <c r="I52" s="419"/>
      <c r="J52" s="419"/>
      <c r="K52" s="419"/>
      <c r="L52" s="419"/>
      <c r="M52" s="419"/>
      <c r="N52" s="419"/>
    </row>
    <row r="53" spans="1:14" x14ac:dyDescent="0.3">
      <c r="D53" s="52"/>
      <c r="E53" s="417"/>
      <c r="F53" s="441"/>
      <c r="G53" s="442"/>
      <c r="H53" s="420"/>
      <c r="I53" s="419"/>
      <c r="J53" s="419"/>
      <c r="K53" s="419"/>
      <c r="L53" s="419"/>
      <c r="M53" s="419"/>
      <c r="N53" s="419"/>
    </row>
    <row r="54" spans="1:14" x14ac:dyDescent="0.3">
      <c r="D54" s="52"/>
      <c r="E54" s="441"/>
      <c r="F54" s="441"/>
      <c r="G54" s="442"/>
      <c r="H54" s="442"/>
      <c r="I54" s="419"/>
      <c r="J54" s="419"/>
      <c r="K54" s="419"/>
      <c r="L54" s="419"/>
      <c r="M54" s="419"/>
      <c r="N54" s="419"/>
    </row>
    <row r="55" spans="1:14" x14ac:dyDescent="0.3">
      <c r="E55" s="52"/>
      <c r="F55" s="52"/>
      <c r="G55" s="445"/>
      <c r="H55" s="445"/>
    </row>
    <row r="56" spans="1:14" x14ac:dyDescent="0.3">
      <c r="E56" s="52"/>
      <c r="F56" s="52"/>
      <c r="G56" s="445"/>
      <c r="H56" s="445"/>
    </row>
    <row r="57" spans="1:14" x14ac:dyDescent="0.3">
      <c r="E57" s="52"/>
      <c r="F57" s="52"/>
      <c r="G57" s="445"/>
      <c r="H57" s="445"/>
    </row>
    <row r="58" spans="1:14" x14ac:dyDescent="0.3">
      <c r="E58" s="52"/>
      <c r="F58" s="52"/>
      <c r="G58" s="445"/>
      <c r="H58" s="445"/>
    </row>
    <row r="59" spans="1:14" x14ac:dyDescent="0.3">
      <c r="E59" s="52"/>
      <c r="F59" s="52"/>
      <c r="G59" s="445"/>
      <c r="H59" s="445"/>
    </row>
    <row r="60" spans="1:14" x14ac:dyDescent="0.3">
      <c r="E60" s="52"/>
      <c r="F60" s="52"/>
      <c r="G60" s="445"/>
      <c r="H60" s="445"/>
    </row>
    <row r="61" spans="1:14" x14ac:dyDescent="0.3">
      <c r="E61" s="52"/>
      <c r="F61" s="52"/>
      <c r="G61" s="445"/>
      <c r="H61" s="445"/>
    </row>
    <row r="62" spans="1:14" x14ac:dyDescent="0.3">
      <c r="E62" s="52"/>
      <c r="F62" s="52"/>
      <c r="G62" s="445"/>
      <c r="H62" s="445"/>
    </row>
  </sheetData>
  <mergeCells count="4">
    <mergeCell ref="C3:D3"/>
    <mergeCell ref="B41:E41"/>
    <mergeCell ref="A3:B3"/>
    <mergeCell ref="A1:E1"/>
  </mergeCells>
  <hyperlinks>
    <hyperlink ref="A7" location="Bosmere!A1" tooltip="Bosmere Deanery" display="Bosmere" xr:uid="{00000000-0004-0000-0000-000000000000}"/>
    <hyperlink ref="A8" location="Clare!A1" tooltip="Clare Deanery" display="Clare" xr:uid="{00000000-0004-0000-0000-000001000000}"/>
    <hyperlink ref="A9" location="Hadleigh!A1" tooltip="Hadleigh Deanery" display="Hadleigh" xr:uid="{00000000-0004-0000-0000-000002000000}"/>
    <hyperlink ref="A10" location="Ixworth!A1" tooltip="Ixworth Deanery" display="Ixworth" xr:uid="{00000000-0004-0000-0000-000003000000}"/>
    <hyperlink ref="A11" location="Lavenham!A1" tooltip="Lavenham Deanery" display="Lavenham" xr:uid="{00000000-0004-0000-0000-000004000000}"/>
    <hyperlink ref="A12" location="Mildenhall!A1" tooltip="Mildenhall Deanery" display="Mildenhall" xr:uid="{00000000-0004-0000-0000-000005000000}"/>
    <hyperlink ref="A13" location="Stowmarket!A1" tooltip="Stowmarket Deaney" display="Stowmarket" xr:uid="{00000000-0004-0000-0000-000006000000}"/>
    <hyperlink ref="A14" location="Sudbury!A1" tooltip="Sudbury Deaney" display="Sudbury" xr:uid="{00000000-0004-0000-0000-000007000000}"/>
    <hyperlink ref="A15" location="Thingoe!A1" tooltip="Thingoe Deanery" display="Thingoe" xr:uid="{00000000-0004-0000-0000-000008000000}"/>
    <hyperlink ref="A19" location="Colneys!A1" tooltip="Colneys Deanery" display="Colneys" xr:uid="{00000000-0004-0000-0000-000009000000}"/>
    <hyperlink ref="A20" location="Hartismere!A1" tooltip="Hartismere Deanery" display="Hartismere" xr:uid="{00000000-0004-0000-0000-00000A000000}"/>
    <hyperlink ref="A21" location="Hoxne!A1" tooltip="Hoxne Deanery" display="Hoxne" xr:uid="{00000000-0004-0000-0000-00000B000000}"/>
    <hyperlink ref="A30" location="Ipswich!A1" tooltip="Ipswich Deanery" display="Ipswich" xr:uid="{00000000-0004-0000-0000-00000C000000}"/>
    <hyperlink ref="A22" location="Loes!A1" tooltip="Loes Deanery" display="Loes" xr:uid="{00000000-0004-0000-0000-00000D000000}"/>
    <hyperlink ref="A23" location="Samford!A1" tooltip="Samford Deanery" display="Samford" xr:uid="{00000000-0004-0000-0000-00000E000000}"/>
    <hyperlink ref="A24" location="Saxmundham!A1" tooltip="Saxmundham Deanery" display="Saxmundham" xr:uid="{00000000-0004-0000-0000-00000F000000}"/>
    <hyperlink ref="A25" location="'Waveney &amp; Blyth'!A1" tooltip="Waveney &amp; Blyth Deanery" display="Waveney &amp; Blyth" xr:uid="{00000000-0004-0000-0000-000010000000}"/>
    <hyperlink ref="A26" location="Woodbridge!A1" tooltip="Woodbridge Deanery" display="Woodbridge" xr:uid="{00000000-0004-0000-0000-000011000000}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&amp;L&amp;D&amp;R&amp;Z&amp;F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7"/>
  <sheetViews>
    <sheetView topLeftCell="A43" zoomScaleNormal="100" workbookViewId="0">
      <selection activeCell="F56" sqref="F56"/>
    </sheetView>
  </sheetViews>
  <sheetFormatPr defaultRowHeight="14" x14ac:dyDescent="0.3"/>
  <cols>
    <col min="1" max="1" width="9" style="24"/>
    <col min="2" max="2" width="10.83203125" style="24" bestFit="1" customWidth="1"/>
    <col min="3" max="3" width="48.75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2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COUNTIF(H8:H50,"&gt;1")</f>
        <v>0</v>
      </c>
    </row>
    <row r="4" spans="2:16" s="3" customFormat="1" ht="18" thickBot="1" x14ac:dyDescent="0.4">
      <c r="B4" s="120"/>
      <c r="C4" s="102" t="s">
        <v>152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COUNTIF(H8:H50,1)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2</v>
      </c>
    </row>
    <row r="6" spans="2:16" s="3" customFormat="1" ht="14.5" thickBot="1" x14ac:dyDescent="0.35">
      <c r="B6" s="141" t="s">
        <v>603</v>
      </c>
      <c r="C6" s="186" t="s">
        <v>29</v>
      </c>
      <c r="D6" s="186" t="s">
        <v>1</v>
      </c>
      <c r="E6" s="186" t="s">
        <v>2</v>
      </c>
      <c r="F6" s="186" t="s">
        <v>3</v>
      </c>
      <c r="G6" s="98" t="s">
        <v>4</v>
      </c>
      <c r="H6" s="3" t="s">
        <v>562</v>
      </c>
      <c r="K6" s="24" t="s">
        <v>1552</v>
      </c>
      <c r="L6" s="13">
        <v>6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998</v>
      </c>
      <c r="C8" s="233" t="s">
        <v>153</v>
      </c>
      <c r="D8" s="604">
        <f>[4]Lavenham!E8</f>
        <v>6951</v>
      </c>
      <c r="E8" s="604">
        <f>[5]Lavenham!D8</f>
        <v>4635</v>
      </c>
      <c r="F8" s="604">
        <f>D8-E8</f>
        <v>2316</v>
      </c>
      <c r="G8" s="243">
        <f>ROUND((E8/D8),4)</f>
        <v>0.66679999999999995</v>
      </c>
      <c r="H8" s="16"/>
      <c r="J8" s="13"/>
      <c r="K8" s="13"/>
      <c r="L8" s="13">
        <f>SUM(L3:L7)</f>
        <v>8</v>
      </c>
      <c r="N8" s="4" t="s">
        <v>1381</v>
      </c>
      <c r="O8" s="4" t="s">
        <v>1382</v>
      </c>
      <c r="P8" s="4" t="s">
        <v>1380</v>
      </c>
    </row>
    <row r="9" spans="2:16" s="4" customFormat="1" x14ac:dyDescent="0.3">
      <c r="B9" s="238" t="s">
        <v>966</v>
      </c>
      <c r="C9" s="233" t="s">
        <v>154</v>
      </c>
      <c r="D9" s="114">
        <f>[4]Lavenham!E9</f>
        <v>13902</v>
      </c>
      <c r="E9" s="114">
        <f>[5]Lavenham!D9</f>
        <v>6953</v>
      </c>
      <c r="F9" s="114">
        <f t="shared" ref="F9:F52" si="0">D9-E9</f>
        <v>6949</v>
      </c>
      <c r="G9" s="243">
        <f t="shared" ref="G9:G52" si="1">ROUND((E9/D9),4)</f>
        <v>0.50009999999999999</v>
      </c>
      <c r="H9" s="16"/>
      <c r="J9" s="13"/>
      <c r="N9" s="4" t="s">
        <v>1381</v>
      </c>
      <c r="O9" s="4" t="s">
        <v>1382</v>
      </c>
      <c r="P9" s="4" t="s">
        <v>1379</v>
      </c>
    </row>
    <row r="10" spans="2:16" s="4" customFormat="1" x14ac:dyDescent="0.3">
      <c r="B10" s="238" t="s">
        <v>967</v>
      </c>
      <c r="C10" s="233" t="s">
        <v>155</v>
      </c>
      <c r="D10" s="114">
        <f>[4]Lavenham!E10</f>
        <v>33364</v>
      </c>
      <c r="E10" s="114">
        <f>[5]Lavenham!D10</f>
        <v>14464</v>
      </c>
      <c r="F10" s="114">
        <f t="shared" si="0"/>
        <v>18900</v>
      </c>
      <c r="G10" s="243">
        <f t="shared" si="1"/>
        <v>0.4335</v>
      </c>
      <c r="H10" s="16"/>
      <c r="K10" s="13"/>
      <c r="L10" s="13"/>
      <c r="N10" s="4" t="s">
        <v>1386</v>
      </c>
      <c r="O10" s="4" t="s">
        <v>1378</v>
      </c>
      <c r="P10" s="4" t="s">
        <v>1379</v>
      </c>
    </row>
    <row r="11" spans="2:16" s="4" customFormat="1" x14ac:dyDescent="0.3">
      <c r="B11" s="238" t="s">
        <v>968</v>
      </c>
      <c r="C11" s="233" t="s">
        <v>156</v>
      </c>
      <c r="D11" s="114">
        <f>[4]Lavenham!E11</f>
        <v>10427</v>
      </c>
      <c r="E11" s="114">
        <f>[5]Lavenham!D11</f>
        <v>6082.7</v>
      </c>
      <c r="F11" s="114">
        <f t="shared" si="0"/>
        <v>4344.3</v>
      </c>
      <c r="G11" s="243">
        <f t="shared" si="1"/>
        <v>0.58340000000000003</v>
      </c>
      <c r="H11" s="16"/>
      <c r="K11" s="13"/>
      <c r="L11" s="13"/>
      <c r="N11" s="4" t="s">
        <v>1381</v>
      </c>
      <c r="O11" s="4" t="s">
        <v>1382</v>
      </c>
      <c r="P11" s="4" t="s">
        <v>1379</v>
      </c>
    </row>
    <row r="12" spans="2:16" s="4" customFormat="1" x14ac:dyDescent="0.3">
      <c r="B12" s="230" t="s">
        <v>969</v>
      </c>
      <c r="C12" s="247" t="s">
        <v>157</v>
      </c>
      <c r="D12" s="145">
        <f>[4]Lavenham!E12</f>
        <v>4865</v>
      </c>
      <c r="E12" s="145">
        <f>[5]Lavenham!D12</f>
        <v>2841</v>
      </c>
      <c r="F12" s="145">
        <f t="shared" si="0"/>
        <v>2024</v>
      </c>
      <c r="G12" s="243">
        <f t="shared" si="1"/>
        <v>0.58399999999999996</v>
      </c>
      <c r="H12" s="16"/>
      <c r="N12" s="4" t="s">
        <v>1381</v>
      </c>
      <c r="O12" s="4" t="s">
        <v>1382</v>
      </c>
      <c r="P12" s="4" t="s">
        <v>1379</v>
      </c>
    </row>
    <row r="13" spans="2:16" s="11" customFormat="1" ht="28.5" thickBot="1" x14ac:dyDescent="0.35">
      <c r="B13" s="248" t="s">
        <v>970</v>
      </c>
      <c r="C13" s="249" t="s">
        <v>158</v>
      </c>
      <c r="D13" s="250">
        <f>SUM(D8:D12)</f>
        <v>69509</v>
      </c>
      <c r="E13" s="250">
        <f>SUM(E8:E12)</f>
        <v>34975.699999999997</v>
      </c>
      <c r="F13" s="250">
        <f t="shared" si="0"/>
        <v>34533.300000000003</v>
      </c>
      <c r="G13" s="229">
        <f t="shared" si="1"/>
        <v>0.50319999999999998</v>
      </c>
      <c r="H13" s="17">
        <f t="shared" ref="H13:H50" si="2">G13</f>
        <v>0.50319999999999998</v>
      </c>
    </row>
    <row r="14" spans="2:16" s="4" customFormat="1" x14ac:dyDescent="0.3">
      <c r="B14" s="230"/>
      <c r="C14" s="233"/>
      <c r="D14" s="114"/>
      <c r="E14" s="114"/>
      <c r="F14" s="114"/>
      <c r="G14" s="241"/>
      <c r="H14" s="16"/>
    </row>
    <row r="15" spans="2:16" s="3" customFormat="1" ht="14.5" thickBot="1" x14ac:dyDescent="0.35">
      <c r="B15" s="222" t="s">
        <v>971</v>
      </c>
      <c r="C15" s="226" t="s">
        <v>159</v>
      </c>
      <c r="D15" s="109">
        <f>[4]Lavenham!$E$15</f>
        <v>70442</v>
      </c>
      <c r="E15" s="109">
        <f>[5]Lavenham!$D$15</f>
        <v>26675</v>
      </c>
      <c r="F15" s="109">
        <f t="shared" si="0"/>
        <v>43767</v>
      </c>
      <c r="G15" s="229">
        <f t="shared" si="1"/>
        <v>0.37869999999999998</v>
      </c>
      <c r="H15" s="17">
        <f t="shared" si="2"/>
        <v>0.37869999999999998</v>
      </c>
    </row>
    <row r="16" spans="2:16" s="4" customFormat="1" x14ac:dyDescent="0.3">
      <c r="B16" s="244"/>
      <c r="C16" s="240"/>
      <c r="D16" s="245"/>
      <c r="E16" s="245"/>
      <c r="F16" s="245"/>
      <c r="G16" s="246"/>
      <c r="H16" s="16"/>
    </row>
    <row r="17" spans="2:16" s="4" customFormat="1" x14ac:dyDescent="0.3">
      <c r="B17" s="238" t="s">
        <v>972</v>
      </c>
      <c r="C17" s="233" t="s">
        <v>9</v>
      </c>
      <c r="D17" s="114">
        <f>[4]Lavenham!E17</f>
        <v>63434</v>
      </c>
      <c r="E17" s="114">
        <f>[5]Lavenham!D17</f>
        <v>37835</v>
      </c>
      <c r="F17" s="114">
        <f t="shared" si="0"/>
        <v>25599</v>
      </c>
      <c r="G17" s="243">
        <f t="shared" si="1"/>
        <v>0.59640000000000004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64" t="s">
        <v>973</v>
      </c>
      <c r="C18" s="291" t="s">
        <v>160</v>
      </c>
      <c r="D18" s="114">
        <f>[4]Lavenham!E18</f>
        <v>7463</v>
      </c>
      <c r="E18" s="114">
        <f>[5]Lavenham!D18</f>
        <v>0</v>
      </c>
      <c r="F18" s="265">
        <f t="shared" si="0"/>
        <v>7463</v>
      </c>
      <c r="G18" s="188">
        <f t="shared" si="1"/>
        <v>0</v>
      </c>
      <c r="H18" s="16"/>
    </row>
    <row r="19" spans="2:16" s="3" customFormat="1" ht="14.5" thickBot="1" x14ac:dyDescent="0.35">
      <c r="B19" s="222" t="s">
        <v>974</v>
      </c>
      <c r="C19" s="226" t="s">
        <v>161</v>
      </c>
      <c r="D19" s="109">
        <f>SUM(D17:D18)</f>
        <v>70897</v>
      </c>
      <c r="E19" s="109">
        <f>SUM(E17:E18)</f>
        <v>37835</v>
      </c>
      <c r="F19" s="109">
        <f t="shared" si="0"/>
        <v>33062</v>
      </c>
      <c r="G19" s="229">
        <f t="shared" si="1"/>
        <v>0.53369999999999995</v>
      </c>
      <c r="H19" s="17">
        <f t="shared" si="2"/>
        <v>0.53369999999999995</v>
      </c>
    </row>
    <row r="20" spans="2:16" s="4" customFormat="1" x14ac:dyDescent="0.3">
      <c r="B20" s="244"/>
      <c r="C20" s="240"/>
      <c r="D20" s="245"/>
      <c r="E20" s="245"/>
      <c r="F20" s="245"/>
      <c r="G20" s="246"/>
      <c r="H20" s="16"/>
    </row>
    <row r="21" spans="2:16" s="4" customFormat="1" x14ac:dyDescent="0.3">
      <c r="B21" s="238" t="s">
        <v>975</v>
      </c>
      <c r="C21" s="233" t="s">
        <v>162</v>
      </c>
      <c r="D21" s="114">
        <f>[4]Lavenham!E21</f>
        <v>7624</v>
      </c>
      <c r="E21" s="114">
        <f>[5]Lavenham!D21</f>
        <v>2859</v>
      </c>
      <c r="F21" s="114">
        <f t="shared" si="0"/>
        <v>4765</v>
      </c>
      <c r="G21" s="243">
        <f t="shared" si="1"/>
        <v>0.375</v>
      </c>
      <c r="H21" s="16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8" t="s">
        <v>976</v>
      </c>
      <c r="C22" s="233" t="s">
        <v>163</v>
      </c>
      <c r="D22" s="114">
        <f>[4]Lavenham!E22</f>
        <v>7624</v>
      </c>
      <c r="E22" s="114">
        <f>[5]Lavenham!D22</f>
        <v>5718</v>
      </c>
      <c r="F22" s="114">
        <f t="shared" si="0"/>
        <v>1906</v>
      </c>
      <c r="G22" s="243">
        <f t="shared" si="1"/>
        <v>0.75</v>
      </c>
      <c r="H22" s="16"/>
      <c r="N22" s="4" t="s">
        <v>1377</v>
      </c>
      <c r="O22" s="4" t="s">
        <v>1378</v>
      </c>
      <c r="P22" s="4" t="s">
        <v>1380</v>
      </c>
    </row>
    <row r="23" spans="2:16" s="4" customFormat="1" x14ac:dyDescent="0.3">
      <c r="B23" s="238" t="s">
        <v>999</v>
      </c>
      <c r="C23" s="233" t="s">
        <v>164</v>
      </c>
      <c r="D23" s="114">
        <f>[4]Lavenham!E23</f>
        <v>3812</v>
      </c>
      <c r="E23" s="114">
        <f>[5]Lavenham!D23</f>
        <v>1432</v>
      </c>
      <c r="F23" s="114">
        <f t="shared" si="0"/>
        <v>2380</v>
      </c>
      <c r="G23" s="243">
        <f t="shared" si="1"/>
        <v>0.37569999999999998</v>
      </c>
      <c r="H23" s="16"/>
      <c r="N23" s="4" t="s">
        <v>1377</v>
      </c>
      <c r="O23" s="4" t="s">
        <v>1378</v>
      </c>
      <c r="P23" s="4" t="s">
        <v>1380</v>
      </c>
    </row>
    <row r="24" spans="2:16" s="4" customFormat="1" x14ac:dyDescent="0.3">
      <c r="B24" s="238" t="s">
        <v>978</v>
      </c>
      <c r="C24" s="233" t="s">
        <v>165</v>
      </c>
      <c r="D24" s="114">
        <f>[4]Lavenham!E24</f>
        <v>4955</v>
      </c>
      <c r="E24" s="114">
        <f>[5]Lavenham!D24</f>
        <v>1860</v>
      </c>
      <c r="F24" s="114">
        <f t="shared" si="0"/>
        <v>3095</v>
      </c>
      <c r="G24" s="243">
        <f t="shared" si="1"/>
        <v>0.37540000000000001</v>
      </c>
      <c r="H24" s="16"/>
      <c r="N24" s="4" t="s">
        <v>1377</v>
      </c>
      <c r="O24" s="4" t="s">
        <v>1378</v>
      </c>
      <c r="P24" s="4" t="s">
        <v>1380</v>
      </c>
    </row>
    <row r="25" spans="2:16" s="4" customFormat="1" x14ac:dyDescent="0.3">
      <c r="B25" s="238" t="s">
        <v>979</v>
      </c>
      <c r="C25" s="233" t="s">
        <v>166</v>
      </c>
      <c r="D25" s="114">
        <f>[4]Lavenham!E25</f>
        <v>14103</v>
      </c>
      <c r="E25" s="114">
        <f>[5]Lavenham!D25</f>
        <v>8225.93</v>
      </c>
      <c r="F25" s="114">
        <f t="shared" si="0"/>
        <v>5877.07</v>
      </c>
      <c r="G25" s="243">
        <f t="shared" si="1"/>
        <v>0.58330000000000004</v>
      </c>
      <c r="H25" s="16"/>
      <c r="N25" s="4" t="s">
        <v>1377</v>
      </c>
      <c r="O25" s="4" t="s">
        <v>1378</v>
      </c>
      <c r="P25" s="4" t="s">
        <v>1379</v>
      </c>
    </row>
    <row r="26" spans="2:16" s="11" customFormat="1" ht="28.5" thickBot="1" x14ac:dyDescent="0.35">
      <c r="B26" s="248" t="s">
        <v>980</v>
      </c>
      <c r="C26" s="249" t="s">
        <v>167</v>
      </c>
      <c r="D26" s="250">
        <f>SUM(D21:D25)</f>
        <v>38118</v>
      </c>
      <c r="E26" s="250">
        <f>SUM(E21:E25)</f>
        <v>20094.93</v>
      </c>
      <c r="F26" s="250">
        <f t="shared" si="0"/>
        <v>18023.07</v>
      </c>
      <c r="G26" s="229">
        <f t="shared" si="1"/>
        <v>0.5272</v>
      </c>
      <c r="H26" s="17">
        <f t="shared" si="2"/>
        <v>0.5272</v>
      </c>
    </row>
    <row r="27" spans="2:16" s="11" customFormat="1" x14ac:dyDescent="0.3">
      <c r="B27" s="260"/>
      <c r="C27" s="261"/>
      <c r="D27" s="262"/>
      <c r="E27" s="262"/>
      <c r="F27" s="262"/>
      <c r="G27" s="263"/>
      <c r="H27" s="16"/>
    </row>
    <row r="28" spans="2:16" s="12" customFormat="1" x14ac:dyDescent="0.3">
      <c r="B28" s="264" t="s">
        <v>981</v>
      </c>
      <c r="C28" s="291" t="s">
        <v>548</v>
      </c>
      <c r="D28" s="114">
        <f>[4]Lavenham!E28</f>
        <v>9953</v>
      </c>
      <c r="E28" s="114">
        <f>[5]Lavenham!D28</f>
        <v>0</v>
      </c>
      <c r="F28" s="265">
        <f>D28-E28</f>
        <v>9953</v>
      </c>
      <c r="G28" s="243">
        <f t="shared" si="1"/>
        <v>0</v>
      </c>
      <c r="H28" s="16"/>
      <c r="N28" s="12" t="s">
        <v>1377</v>
      </c>
      <c r="O28" s="12" t="s">
        <v>1378</v>
      </c>
    </row>
    <row r="29" spans="2:16" s="12" customFormat="1" x14ac:dyDescent="0.3">
      <c r="B29" s="238" t="s">
        <v>982</v>
      </c>
      <c r="C29" s="233" t="s">
        <v>549</v>
      </c>
      <c r="D29" s="114">
        <f>[4]Lavenham!E29-664</f>
        <v>19906</v>
      </c>
      <c r="E29" s="114">
        <f>[5]Lavenham!D29</f>
        <v>10000</v>
      </c>
      <c r="F29" s="114">
        <f>D29-E29</f>
        <v>9906</v>
      </c>
      <c r="G29" s="243">
        <f t="shared" si="1"/>
        <v>0.50239999999999996</v>
      </c>
      <c r="H29" s="16"/>
      <c r="N29" s="12" t="s">
        <v>1377</v>
      </c>
      <c r="O29" s="12" t="s">
        <v>1378</v>
      </c>
      <c r="P29" s="12" t="s">
        <v>1380</v>
      </c>
    </row>
    <row r="30" spans="2:16" s="12" customFormat="1" x14ac:dyDescent="0.3">
      <c r="B30" s="238" t="s">
        <v>983</v>
      </c>
      <c r="C30" s="233" t="s">
        <v>550</v>
      </c>
      <c r="D30" s="114">
        <f>[4]Lavenham!E30+663</f>
        <v>24551</v>
      </c>
      <c r="E30" s="114">
        <f>[5]Lavenham!D30</f>
        <v>14322</v>
      </c>
      <c r="F30" s="114">
        <f>D30-E30</f>
        <v>10229</v>
      </c>
      <c r="G30" s="243">
        <f t="shared" si="1"/>
        <v>0.58340000000000003</v>
      </c>
      <c r="H30" s="16"/>
      <c r="N30" s="12" t="s">
        <v>1377</v>
      </c>
      <c r="O30" s="12" t="s">
        <v>1378</v>
      </c>
      <c r="P30" s="12" t="s">
        <v>1379</v>
      </c>
    </row>
    <row r="31" spans="2:16" s="12" customFormat="1" x14ac:dyDescent="0.3">
      <c r="B31" s="266" t="s">
        <v>984</v>
      </c>
      <c r="C31" s="609" t="s">
        <v>551</v>
      </c>
      <c r="D31" s="114">
        <f>[4]Lavenham!E31+1</f>
        <v>11944</v>
      </c>
      <c r="E31" s="114">
        <f>[5]Lavenham!D31</f>
        <v>11944</v>
      </c>
      <c r="F31" s="610">
        <f>D31-E31</f>
        <v>0</v>
      </c>
      <c r="G31" s="243">
        <f t="shared" si="1"/>
        <v>1</v>
      </c>
      <c r="H31" s="16"/>
      <c r="N31" s="12" t="s">
        <v>1377</v>
      </c>
      <c r="O31" s="12" t="s">
        <v>1378</v>
      </c>
      <c r="P31" s="12" t="s">
        <v>1383</v>
      </c>
    </row>
    <row r="32" spans="2:16" s="11" customFormat="1" ht="28.5" thickBot="1" x14ac:dyDescent="0.35">
      <c r="B32" s="248" t="s">
        <v>985</v>
      </c>
      <c r="C32" s="249" t="s">
        <v>552</v>
      </c>
      <c r="D32" s="250">
        <f>SUM(D28:D31)</f>
        <v>66354</v>
      </c>
      <c r="E32" s="250">
        <f>SUM(E28:E31)</f>
        <v>36266</v>
      </c>
      <c r="F32" s="250">
        <f>D32-E32</f>
        <v>30088</v>
      </c>
      <c r="G32" s="229">
        <f t="shared" si="1"/>
        <v>0.54659999999999997</v>
      </c>
      <c r="H32" s="17">
        <f t="shared" si="2"/>
        <v>0.54659999999999997</v>
      </c>
    </row>
    <row r="33" spans="2:16" s="4" customFormat="1" x14ac:dyDescent="0.3">
      <c r="B33" s="244"/>
      <c r="C33" s="240"/>
      <c r="D33" s="245"/>
      <c r="E33" s="245"/>
      <c r="F33" s="245"/>
      <c r="G33" s="246"/>
      <c r="H33" s="16"/>
    </row>
    <row r="34" spans="2:16" s="4" customFormat="1" x14ac:dyDescent="0.3">
      <c r="B34" s="264" t="s">
        <v>986</v>
      </c>
      <c r="C34" s="291" t="s">
        <v>168</v>
      </c>
      <c r="D34" s="114">
        <f>[4]Lavenham!$E$34</f>
        <v>40496</v>
      </c>
      <c r="E34" s="114">
        <f>[5]Lavenham!D34</f>
        <v>9000</v>
      </c>
      <c r="F34" s="265">
        <f t="shared" si="0"/>
        <v>31496</v>
      </c>
      <c r="G34" s="188">
        <f t="shared" si="1"/>
        <v>0.22220000000000001</v>
      </c>
      <c r="H34" s="16"/>
      <c r="N34" s="4" t="s">
        <v>1377</v>
      </c>
      <c r="O34" s="4" t="s">
        <v>1378</v>
      </c>
    </row>
    <row r="35" spans="2:16" s="4" customFormat="1" x14ac:dyDescent="0.3">
      <c r="B35" s="238" t="s">
        <v>987</v>
      </c>
      <c r="C35" s="233" t="s">
        <v>169</v>
      </c>
      <c r="D35" s="114">
        <f>[4]Lavenham!$E$35</f>
        <v>21000</v>
      </c>
      <c r="E35" s="114">
        <f>[5]Lavenham!D35</f>
        <v>6000</v>
      </c>
      <c r="F35" s="114">
        <f t="shared" si="0"/>
        <v>15000</v>
      </c>
      <c r="G35" s="188">
        <f t="shared" si="1"/>
        <v>0.28570000000000001</v>
      </c>
      <c r="H35" s="16"/>
      <c r="N35" s="4" t="s">
        <v>1377</v>
      </c>
      <c r="O35" s="4" t="s">
        <v>1378</v>
      </c>
    </row>
    <row r="36" spans="2:16" s="3" customFormat="1" ht="14.5" thickBot="1" x14ac:dyDescent="0.35">
      <c r="B36" s="222" t="s">
        <v>988</v>
      </c>
      <c r="C36" s="226" t="s">
        <v>170</v>
      </c>
      <c r="D36" s="109">
        <f>SUM(D34:D35)</f>
        <v>61496</v>
      </c>
      <c r="E36" s="109">
        <f>SUM(E34:E35)</f>
        <v>15000</v>
      </c>
      <c r="F36" s="109">
        <f t="shared" si="0"/>
        <v>46496</v>
      </c>
      <c r="G36" s="229">
        <f t="shared" si="1"/>
        <v>0.24390000000000001</v>
      </c>
      <c r="H36" s="17">
        <f t="shared" si="2"/>
        <v>0.24390000000000001</v>
      </c>
    </row>
    <row r="37" spans="2:16" s="4" customFormat="1" x14ac:dyDescent="0.3">
      <c r="B37" s="244"/>
      <c r="C37" s="240"/>
      <c r="D37" s="245"/>
      <c r="E37" s="245"/>
      <c r="F37" s="245"/>
      <c r="G37" s="246"/>
      <c r="H37" s="16"/>
    </row>
    <row r="38" spans="2:16" s="4" customFormat="1" x14ac:dyDescent="0.3">
      <c r="B38" s="264" t="s">
        <v>965</v>
      </c>
      <c r="C38" s="233" t="s">
        <v>171</v>
      </c>
      <c r="D38" s="114">
        <f>[4]Lavenham!E39</f>
        <v>0</v>
      </c>
      <c r="E38" s="114">
        <f>[5]Lavenham!D38</f>
        <v>0</v>
      </c>
      <c r="F38" s="114"/>
      <c r="G38" s="243"/>
      <c r="H38" s="16"/>
      <c r="N38" s="4" t="s">
        <v>1377</v>
      </c>
      <c r="O38" s="4" t="s">
        <v>1378</v>
      </c>
      <c r="P38" s="4" t="s">
        <v>1380</v>
      </c>
    </row>
    <row r="39" spans="2:16" s="4" customFormat="1" x14ac:dyDescent="0.3">
      <c r="B39" s="264" t="s">
        <v>989</v>
      </c>
      <c r="C39" s="233" t="s">
        <v>172</v>
      </c>
      <c r="D39" s="114">
        <f>[4]Lavenham!E40</f>
        <v>0</v>
      </c>
      <c r="E39" s="114">
        <f>[5]Lavenham!D39</f>
        <v>0</v>
      </c>
      <c r="F39" s="114"/>
      <c r="G39" s="243"/>
      <c r="H39" s="16"/>
    </row>
    <row r="40" spans="2:16" s="4" customFormat="1" x14ac:dyDescent="0.3">
      <c r="B40" s="264" t="s">
        <v>990</v>
      </c>
      <c r="C40" s="233" t="s">
        <v>173</v>
      </c>
      <c r="D40" s="114">
        <f>[4]Lavenham!E41</f>
        <v>0</v>
      </c>
      <c r="E40" s="114">
        <f>[5]Lavenham!D40</f>
        <v>0</v>
      </c>
      <c r="F40" s="114"/>
      <c r="G40" s="243"/>
      <c r="H40" s="16"/>
      <c r="N40" s="4" t="s">
        <v>1377</v>
      </c>
      <c r="O40" s="4" t="s">
        <v>1378</v>
      </c>
    </row>
    <row r="41" spans="2:16" s="4" customFormat="1" x14ac:dyDescent="0.3">
      <c r="B41" s="264" t="s">
        <v>991</v>
      </c>
      <c r="C41" s="233" t="s">
        <v>174</v>
      </c>
      <c r="D41" s="114">
        <f>[4]Lavenham!E42</f>
        <v>0</v>
      </c>
      <c r="E41" s="114">
        <f>[5]Lavenham!D41</f>
        <v>0</v>
      </c>
      <c r="F41" s="114"/>
      <c r="G41" s="243"/>
      <c r="H41" s="16"/>
      <c r="N41" s="4" t="s">
        <v>1377</v>
      </c>
      <c r="O41" s="4" t="s">
        <v>1378</v>
      </c>
    </row>
    <row r="42" spans="2:16" s="4" customFormat="1" x14ac:dyDescent="0.3">
      <c r="B42" s="264" t="s">
        <v>992</v>
      </c>
      <c r="C42" s="233" t="s">
        <v>175</v>
      </c>
      <c r="D42" s="114">
        <f>[4]Lavenham!E43</f>
        <v>0</v>
      </c>
      <c r="E42" s="114">
        <f>[5]Lavenham!D42</f>
        <v>0</v>
      </c>
      <c r="F42" s="114"/>
      <c r="G42" s="243"/>
      <c r="H42" s="16"/>
    </row>
    <row r="43" spans="2:16" s="4" customFormat="1" x14ac:dyDescent="0.3">
      <c r="B43" s="264" t="s">
        <v>993</v>
      </c>
      <c r="C43" s="233" t="s">
        <v>176</v>
      </c>
      <c r="D43" s="114">
        <f>[4]Lavenham!E44</f>
        <v>0</v>
      </c>
      <c r="E43" s="114">
        <f>[5]Lavenham!D43</f>
        <v>0</v>
      </c>
      <c r="F43" s="114"/>
      <c r="G43" s="243"/>
      <c r="H43" s="16"/>
    </row>
    <row r="44" spans="2:16" s="4" customFormat="1" x14ac:dyDescent="0.3">
      <c r="B44" s="264" t="s">
        <v>994</v>
      </c>
      <c r="C44" s="233" t="s">
        <v>434</v>
      </c>
      <c r="D44" s="114">
        <f>[4]Lavenham!E45</f>
        <v>57983</v>
      </c>
      <c r="E44" s="114">
        <f>[5]Lavenham!D44</f>
        <v>0</v>
      </c>
      <c r="F44" s="265">
        <f t="shared" si="0"/>
        <v>57983</v>
      </c>
      <c r="G44" s="188">
        <f t="shared" si="1"/>
        <v>0</v>
      </c>
      <c r="H44" s="16"/>
    </row>
    <row r="45" spans="2:16" s="4" customFormat="1" x14ac:dyDescent="0.3">
      <c r="B45" s="264"/>
      <c r="C45" s="624" t="s">
        <v>618</v>
      </c>
      <c r="D45" s="629">
        <v>-22663</v>
      </c>
      <c r="E45" s="114">
        <f>[5]Lavenham!D45</f>
        <v>0</v>
      </c>
      <c r="F45" s="629">
        <f>D45</f>
        <v>-22663</v>
      </c>
      <c r="G45" s="188"/>
      <c r="H45" s="16"/>
    </row>
    <row r="46" spans="2:16" s="3" customFormat="1" ht="14.5" thickBot="1" x14ac:dyDescent="0.35">
      <c r="B46" s="222" t="s">
        <v>994</v>
      </c>
      <c r="C46" s="226" t="s">
        <v>177</v>
      </c>
      <c r="D46" s="109">
        <f>D44+D45</f>
        <v>35320</v>
      </c>
      <c r="E46" s="109">
        <f>SUM(E38:E44)</f>
        <v>0</v>
      </c>
      <c r="F46" s="109">
        <f t="shared" si="0"/>
        <v>35320</v>
      </c>
      <c r="G46" s="229">
        <f t="shared" si="1"/>
        <v>0</v>
      </c>
      <c r="H46" s="17">
        <f t="shared" si="2"/>
        <v>0</v>
      </c>
    </row>
    <row r="47" spans="2:16" s="4" customFormat="1" x14ac:dyDescent="0.3">
      <c r="B47" s="244"/>
      <c r="C47" s="240"/>
      <c r="D47" s="245"/>
      <c r="E47" s="245"/>
      <c r="F47" s="245"/>
      <c r="G47" s="246"/>
      <c r="H47" s="16"/>
    </row>
    <row r="48" spans="2:16" s="4" customFormat="1" x14ac:dyDescent="0.3">
      <c r="B48" s="264" t="s">
        <v>995</v>
      </c>
      <c r="C48" s="291" t="s">
        <v>178</v>
      </c>
      <c r="D48" s="114">
        <f>[4]Lavenham!$E$48</f>
        <v>19956</v>
      </c>
      <c r="E48" s="114">
        <f>[5]Lavenham!D48</f>
        <v>11641</v>
      </c>
      <c r="F48" s="265">
        <f t="shared" si="0"/>
        <v>8315</v>
      </c>
      <c r="G48" s="243">
        <f t="shared" si="1"/>
        <v>0.58330000000000004</v>
      </c>
      <c r="H48" s="16"/>
      <c r="N48" s="4" t="s">
        <v>1381</v>
      </c>
      <c r="O48" s="4" t="s">
        <v>1382</v>
      </c>
      <c r="P48" s="4" t="s">
        <v>1379</v>
      </c>
    </row>
    <row r="49" spans="2:16" s="4" customFormat="1" x14ac:dyDescent="0.3">
      <c r="B49" s="238" t="s">
        <v>996</v>
      </c>
      <c r="C49" s="233" t="s">
        <v>179</v>
      </c>
      <c r="D49" s="114">
        <f>[4]Lavenham!$E$49</f>
        <v>48835</v>
      </c>
      <c r="E49" s="114">
        <f>[5]Lavenham!D49</f>
        <v>28800</v>
      </c>
      <c r="F49" s="114">
        <f t="shared" si="0"/>
        <v>20035</v>
      </c>
      <c r="G49" s="243">
        <f t="shared" si="1"/>
        <v>0.5897</v>
      </c>
      <c r="H49" s="16"/>
      <c r="N49" s="4" t="s">
        <v>1381</v>
      </c>
      <c r="O49" s="4" t="s">
        <v>1382</v>
      </c>
      <c r="P49" s="4" t="s">
        <v>1379</v>
      </c>
    </row>
    <row r="50" spans="2:16" s="3" customFormat="1" ht="14.5" thickBot="1" x14ac:dyDescent="0.35">
      <c r="B50" s="222" t="s">
        <v>997</v>
      </c>
      <c r="C50" s="226" t="s">
        <v>180</v>
      </c>
      <c r="D50" s="109">
        <f>SUM(D48:D49)</f>
        <v>68791</v>
      </c>
      <c r="E50" s="109">
        <f>SUM(E48:E49)</f>
        <v>40441</v>
      </c>
      <c r="F50" s="109">
        <f t="shared" si="0"/>
        <v>28350</v>
      </c>
      <c r="G50" s="229">
        <f t="shared" si="1"/>
        <v>0.58789999999999998</v>
      </c>
      <c r="H50" s="17">
        <f t="shared" si="2"/>
        <v>0.58789999999999998</v>
      </c>
    </row>
    <row r="51" spans="2:16" s="4" customFormat="1" x14ac:dyDescent="0.3">
      <c r="B51" s="244" t="s">
        <v>565</v>
      </c>
      <c r="C51" s="233"/>
      <c r="D51" s="114"/>
      <c r="E51" s="114"/>
      <c r="F51" s="114"/>
      <c r="G51" s="241"/>
    </row>
    <row r="52" spans="2:16" s="3" customFormat="1" ht="14.5" thickBot="1" x14ac:dyDescent="0.35">
      <c r="B52" s="222"/>
      <c r="C52" s="226" t="s">
        <v>619</v>
      </c>
      <c r="D52" s="109">
        <f>SUM(D50,D46,D36,D32,D26,D19,D15,D13)-D45</f>
        <v>503590</v>
      </c>
      <c r="E52" s="109">
        <f>SUM(E50,E46,E36,E32,E26,E19,E15,E13)</f>
        <v>211287.63</v>
      </c>
      <c r="F52" s="109">
        <f t="shared" si="0"/>
        <v>292302.37</v>
      </c>
      <c r="G52" s="282">
        <f t="shared" si="1"/>
        <v>0.41959999999999997</v>
      </c>
    </row>
    <row r="53" spans="2:16" s="4" customFormat="1" x14ac:dyDescent="0.3">
      <c r="B53" s="230"/>
      <c r="C53" s="233"/>
      <c r="D53" s="114"/>
      <c r="E53" s="114"/>
      <c r="F53" s="114"/>
      <c r="G53" s="188"/>
    </row>
    <row r="54" spans="2:16" s="24" customFormat="1" ht="14.5" thickBot="1" x14ac:dyDescent="0.35">
      <c r="B54" s="171"/>
      <c r="C54" s="99" t="s">
        <v>1543</v>
      </c>
      <c r="D54" s="110">
        <f>D52+D45</f>
        <v>480927</v>
      </c>
      <c r="E54" s="110">
        <f>E52+E45</f>
        <v>211287.63</v>
      </c>
      <c r="F54" s="110">
        <f>F52+F45</f>
        <v>269639.37</v>
      </c>
      <c r="G54" s="282">
        <f t="shared" ref="G54" si="3">ROUND((E54/D54),4)</f>
        <v>0.43930000000000002</v>
      </c>
    </row>
    <row r="55" spans="2:16" s="4" customFormat="1" x14ac:dyDescent="0.3">
      <c r="B55" s="238"/>
      <c r="C55" s="233"/>
      <c r="D55" s="114"/>
      <c r="E55" s="114"/>
      <c r="F55" s="114"/>
      <c r="G55" s="188"/>
    </row>
    <row r="56" spans="2:16" s="4" customFormat="1" ht="14.5" thickBot="1" x14ac:dyDescent="0.35">
      <c r="B56" s="252"/>
      <c r="C56" s="226" t="s">
        <v>1630</v>
      </c>
      <c r="D56" s="109">
        <f>[7]Lavenham!$D$56</f>
        <v>456780</v>
      </c>
      <c r="E56" s="109">
        <v>239658</v>
      </c>
      <c r="F56" s="109">
        <f>D56-E56</f>
        <v>217122</v>
      </c>
      <c r="G56" s="282">
        <f>E56/D56</f>
        <v>0.52466833048732431</v>
      </c>
    </row>
    <row r="57" spans="2:16" s="4" customFormat="1" x14ac:dyDescent="0.3">
      <c r="G57" s="9"/>
    </row>
    <row r="58" spans="2:16" s="4" customFormat="1" x14ac:dyDescent="0.3">
      <c r="G58" s="9"/>
    </row>
    <row r="59" spans="2:16" s="4" customFormat="1" x14ac:dyDescent="0.3">
      <c r="G59" s="9"/>
    </row>
    <row r="60" spans="2:16" s="4" customFormat="1" x14ac:dyDescent="0.3">
      <c r="G60" s="9"/>
    </row>
    <row r="61" spans="2:16" s="4" customFormat="1" x14ac:dyDescent="0.3">
      <c r="G61" s="9"/>
    </row>
    <row r="62" spans="2:16" s="4" customFormat="1" x14ac:dyDescent="0.3">
      <c r="G62" s="9"/>
    </row>
    <row r="63" spans="2:16" s="4" customFormat="1" x14ac:dyDescent="0.3">
      <c r="G63" s="9"/>
    </row>
    <row r="64" spans="2:16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&amp;L&amp;D&amp;R&amp;Z&amp;F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63"/>
  <sheetViews>
    <sheetView topLeftCell="A36" zoomScaleNormal="100" workbookViewId="0">
      <selection activeCell="F50" sqref="F50"/>
    </sheetView>
  </sheetViews>
  <sheetFormatPr defaultRowHeight="14" x14ac:dyDescent="0.3"/>
  <cols>
    <col min="1" max="1" width="9" style="24"/>
    <col min="2" max="2" width="11.08203125" style="24" bestFit="1" customWidth="1"/>
    <col min="3" max="3" width="46.5" customWidth="1"/>
    <col min="4" max="6" width="12" bestFit="1" customWidth="1"/>
    <col min="7" max="7" width="12.58203125" style="8" customWidth="1"/>
    <col min="8" max="10" width="10.25" hidden="1" customWidth="1"/>
    <col min="11" max="11" width="19.33203125" hidden="1" customWidth="1"/>
    <col min="12" max="13" width="10.25" hidden="1" customWidth="1"/>
    <col min="14" max="14" width="16.75" hidden="1" customWidth="1"/>
    <col min="15" max="15" width="15.5" hidden="1" customWidth="1"/>
    <col min="16" max="16" width="13.83203125" hidden="1" customWidth="1"/>
    <col min="17" max="17" width="9" customWidth="1"/>
    <col min="18" max="18" width="9" hidden="1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COUNTIF(H10:H52,"&gt;1")</f>
        <v>0</v>
      </c>
    </row>
    <row r="4" spans="2:16" s="3" customFormat="1" ht="18" thickBot="1" x14ac:dyDescent="0.4">
      <c r="B4" s="120"/>
      <c r="C4" s="158" t="s">
        <v>251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COUNTIF(H10:H52,1)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COUNTIFS(H10:H52,"&gt;="&amp;Target,H10:H52,"&lt;"&amp;1)</f>
        <v>2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294"/>
      <c r="C7" s="233"/>
      <c r="D7" s="233"/>
      <c r="E7" s="233"/>
      <c r="F7" s="233"/>
      <c r="G7" s="243"/>
      <c r="J7" s="13"/>
      <c r="K7" s="24" t="s">
        <v>557</v>
      </c>
      <c r="L7" s="13">
        <v>0</v>
      </c>
    </row>
    <row r="8" spans="2:16" s="4" customFormat="1" x14ac:dyDescent="0.3">
      <c r="B8" s="238" t="s">
        <v>1000</v>
      </c>
      <c r="C8" s="233" t="s">
        <v>181</v>
      </c>
      <c r="D8" s="416">
        <f>[4]Mildenhall!$E$8</f>
        <v>58927</v>
      </c>
      <c r="E8" s="114">
        <f>[5]Mildenhall!$D$8</f>
        <v>14500</v>
      </c>
      <c r="F8" s="114">
        <f>D8-E8</f>
        <v>44427</v>
      </c>
      <c r="G8" s="188">
        <f>ROUND((E8/D8),4)</f>
        <v>0.24610000000000001</v>
      </c>
      <c r="J8" s="24"/>
      <c r="K8" s="13"/>
      <c r="L8" s="13">
        <f>SUM(L3:L7)</f>
        <v>6</v>
      </c>
      <c r="N8" s="49" t="s">
        <v>1381</v>
      </c>
      <c r="O8" s="50" t="s">
        <v>1378</v>
      </c>
      <c r="P8" s="50"/>
    </row>
    <row r="9" spans="2:16" s="4" customFormat="1" x14ac:dyDescent="0.3">
      <c r="B9" s="238"/>
      <c r="C9" s="624" t="s">
        <v>618</v>
      </c>
      <c r="D9" s="90">
        <v>-37927</v>
      </c>
      <c r="E9" s="90"/>
      <c r="F9" s="90">
        <v>-37927</v>
      </c>
      <c r="G9" s="188"/>
      <c r="J9" s="24"/>
      <c r="K9" s="24"/>
      <c r="L9" s="24"/>
      <c r="N9" s="49"/>
      <c r="O9" s="50"/>
      <c r="P9" s="50"/>
    </row>
    <row r="10" spans="2:16" s="3" customFormat="1" ht="14.5" thickBot="1" x14ac:dyDescent="0.35">
      <c r="B10" s="222" t="s">
        <v>1000</v>
      </c>
      <c r="C10" s="226" t="s">
        <v>181</v>
      </c>
      <c r="D10" s="109">
        <f>SUM(D8:D9)</f>
        <v>21000</v>
      </c>
      <c r="E10" s="109">
        <f>SUM(E8:E8)</f>
        <v>14500</v>
      </c>
      <c r="F10" s="109">
        <f>D10-E10</f>
        <v>6500</v>
      </c>
      <c r="G10" s="229">
        <f>ROUND((E10/D10),4)</f>
        <v>0.6905</v>
      </c>
      <c r="H10" s="14">
        <f>G10</f>
        <v>0.6905</v>
      </c>
      <c r="J10" s="13"/>
      <c r="K10" s="13"/>
      <c r="L10" s="13"/>
      <c r="O10" s="51"/>
      <c r="P10" s="51"/>
    </row>
    <row r="11" spans="2:16" s="4" customFormat="1" x14ac:dyDescent="0.3">
      <c r="B11" s="230"/>
      <c r="C11" s="247"/>
      <c r="D11" s="145"/>
      <c r="E11" s="145"/>
      <c r="F11" s="145"/>
      <c r="G11" s="241"/>
      <c r="H11" s="14"/>
      <c r="J11" s="13"/>
      <c r="K11" s="13"/>
      <c r="O11" s="52"/>
      <c r="P11" s="52"/>
    </row>
    <row r="12" spans="2:16" s="4" customFormat="1" x14ac:dyDescent="0.3">
      <c r="B12" s="238" t="s">
        <v>1001</v>
      </c>
      <c r="C12" s="233" t="s">
        <v>182</v>
      </c>
      <c r="D12" s="114">
        <f>[4]Mildenhall!E11</f>
        <v>1305</v>
      </c>
      <c r="E12" s="114">
        <f>[5]Mildenhall!D12</f>
        <v>1300</v>
      </c>
      <c r="F12" s="114">
        <f>D12-E12</f>
        <v>5</v>
      </c>
      <c r="G12" s="243">
        <f t="shared" ref="G12:G44" si="0">ROUND((E12/D12),4)</f>
        <v>0.99619999999999997</v>
      </c>
      <c r="H12" s="14"/>
      <c r="N12" s="4" t="s">
        <v>1377</v>
      </c>
      <c r="O12" s="52" t="s">
        <v>1378</v>
      </c>
      <c r="P12" s="52" t="s">
        <v>1383</v>
      </c>
    </row>
    <row r="13" spans="2:16" s="4" customFormat="1" x14ac:dyDescent="0.3">
      <c r="B13" s="238" t="s">
        <v>1002</v>
      </c>
      <c r="C13" s="233" t="s">
        <v>183</v>
      </c>
      <c r="D13" s="114">
        <f>[4]Mildenhall!E12</f>
        <v>12900</v>
      </c>
      <c r="E13" s="114">
        <f>[5]Mildenhall!D13</f>
        <v>6000</v>
      </c>
      <c r="F13" s="114">
        <f>D13-E13</f>
        <v>6900</v>
      </c>
      <c r="G13" s="243">
        <f t="shared" si="0"/>
        <v>0.46510000000000001</v>
      </c>
      <c r="H13" s="14"/>
      <c r="N13" s="4" t="s">
        <v>1381</v>
      </c>
      <c r="O13" s="52" t="s">
        <v>1382</v>
      </c>
      <c r="P13" s="52" t="s">
        <v>1379</v>
      </c>
    </row>
    <row r="14" spans="2:16" s="4" customFormat="1" x14ac:dyDescent="0.3">
      <c r="B14" s="238" t="s">
        <v>1003</v>
      </c>
      <c r="C14" s="233" t="s">
        <v>184</v>
      </c>
      <c r="D14" s="114">
        <f>[4]Mildenhall!E13</f>
        <v>5700</v>
      </c>
      <c r="E14" s="114">
        <f>[5]Mildenhall!D14</f>
        <v>5675</v>
      </c>
      <c r="F14" s="114">
        <f>D14-E14</f>
        <v>25</v>
      </c>
      <c r="G14" s="243">
        <f t="shared" si="0"/>
        <v>0.99560000000000004</v>
      </c>
      <c r="H14" s="14"/>
      <c r="N14" s="4" t="s">
        <v>1377</v>
      </c>
      <c r="O14" s="52" t="s">
        <v>1378</v>
      </c>
      <c r="P14" s="52" t="s">
        <v>1385</v>
      </c>
    </row>
    <row r="15" spans="2:16" s="4" customFormat="1" x14ac:dyDescent="0.3">
      <c r="B15" s="230"/>
      <c r="C15" s="247" t="s">
        <v>206</v>
      </c>
      <c r="D15" s="114">
        <f>[4]Mildenhall!E14</f>
        <v>-55</v>
      </c>
      <c r="E15" s="114">
        <f>[5]Mildenhall!D15</f>
        <v>0</v>
      </c>
      <c r="F15" s="145">
        <f>D15-E15</f>
        <v>-55</v>
      </c>
      <c r="G15" s="188"/>
      <c r="H15" s="14"/>
      <c r="O15" s="52"/>
      <c r="P15" s="52"/>
    </row>
    <row r="16" spans="2:16" s="3" customFormat="1" ht="14.5" thickBot="1" x14ac:dyDescent="0.35">
      <c r="B16" s="222" t="s">
        <v>1004</v>
      </c>
      <c r="C16" s="109" t="s">
        <v>185</v>
      </c>
      <c r="D16" s="109">
        <f>SUM(D12:D15)</f>
        <v>19850</v>
      </c>
      <c r="E16" s="109">
        <f>SUM(E12:E15)</f>
        <v>12975</v>
      </c>
      <c r="F16" s="109">
        <f>D16-E16</f>
        <v>6875</v>
      </c>
      <c r="G16" s="227">
        <f t="shared" si="0"/>
        <v>0.65369999999999995</v>
      </c>
      <c r="H16" s="14">
        <f t="shared" ref="H16:H42" si="1">G16</f>
        <v>0.65369999999999995</v>
      </c>
      <c r="O16" s="51"/>
      <c r="P16" s="51"/>
    </row>
    <row r="17" spans="2:18" s="4" customFormat="1" x14ac:dyDescent="0.3">
      <c r="B17" s="230"/>
      <c r="C17" s="240"/>
      <c r="D17" s="245"/>
      <c r="E17" s="245"/>
      <c r="F17" s="245"/>
      <c r="G17" s="241"/>
      <c r="H17" s="14"/>
      <c r="O17" s="52"/>
      <c r="P17" s="52"/>
    </row>
    <row r="18" spans="2:18" s="4" customFormat="1" x14ac:dyDescent="0.3">
      <c r="B18" s="238" t="s">
        <v>1006</v>
      </c>
      <c r="C18" s="233" t="s">
        <v>187</v>
      </c>
      <c r="D18" s="114"/>
      <c r="E18" s="114">
        <f>[5]Mildenhall!D22</f>
        <v>8970</v>
      </c>
      <c r="F18" s="114">
        <f t="shared" ref="F18:F32" si="2">D18-E18</f>
        <v>-8970</v>
      </c>
      <c r="G18" s="243"/>
      <c r="H18" s="14"/>
      <c r="N18" s="49" t="s">
        <v>1377</v>
      </c>
      <c r="O18" s="52" t="s">
        <v>1378</v>
      </c>
      <c r="P18" s="52" t="s">
        <v>1379</v>
      </c>
    </row>
    <row r="19" spans="2:18" s="4" customFormat="1" x14ac:dyDescent="0.3">
      <c r="B19" s="238" t="s">
        <v>1007</v>
      </c>
      <c r="C19" s="233" t="s">
        <v>188</v>
      </c>
      <c r="D19" s="114"/>
      <c r="E19" s="114">
        <f>[5]Mildenhall!D23</f>
        <v>3000</v>
      </c>
      <c r="F19" s="114">
        <f t="shared" si="2"/>
        <v>-3000</v>
      </c>
      <c r="G19" s="243"/>
      <c r="H19" s="14"/>
      <c r="N19" s="49" t="s">
        <v>1381</v>
      </c>
      <c r="O19" s="52" t="s">
        <v>1378</v>
      </c>
      <c r="P19" s="52" t="s">
        <v>1380</v>
      </c>
    </row>
    <row r="20" spans="2:18" s="4" customFormat="1" x14ac:dyDescent="0.3">
      <c r="B20" s="238" t="s">
        <v>1008</v>
      </c>
      <c r="C20" s="233" t="s">
        <v>189</v>
      </c>
      <c r="D20" s="114"/>
      <c r="E20" s="114">
        <f>[5]Mildenhall!D24</f>
        <v>4941.4400000000005</v>
      </c>
      <c r="F20" s="114">
        <f t="shared" si="2"/>
        <v>-4941.4400000000005</v>
      </c>
      <c r="G20" s="243"/>
      <c r="H20" s="14"/>
      <c r="N20" s="49" t="s">
        <v>1381</v>
      </c>
      <c r="O20" s="52" t="s">
        <v>1378</v>
      </c>
      <c r="P20" s="52"/>
    </row>
    <row r="21" spans="2:18" s="4" customFormat="1" x14ac:dyDescent="0.3">
      <c r="B21" s="238" t="s">
        <v>1009</v>
      </c>
      <c r="C21" s="233" t="s">
        <v>190</v>
      </c>
      <c r="D21" s="114"/>
      <c r="E21" s="114">
        <f>[5]Mildenhall!D25</f>
        <v>1000</v>
      </c>
      <c r="F21" s="114">
        <f t="shared" si="2"/>
        <v>-1000</v>
      </c>
      <c r="G21" s="243"/>
      <c r="H21" s="14"/>
      <c r="N21" s="49" t="s">
        <v>1377</v>
      </c>
      <c r="O21" s="52" t="s">
        <v>1378</v>
      </c>
      <c r="P21" s="52" t="s">
        <v>1385</v>
      </c>
    </row>
    <row r="22" spans="2:18" s="4" customFormat="1" x14ac:dyDescent="0.3">
      <c r="B22" s="238" t="s">
        <v>1010</v>
      </c>
      <c r="C22" s="233" t="s">
        <v>191</v>
      </c>
      <c r="D22" s="114"/>
      <c r="E22" s="114">
        <f>[5]Mildenhall!D26</f>
        <v>4152</v>
      </c>
      <c r="F22" s="114">
        <f t="shared" si="2"/>
        <v>-4152</v>
      </c>
      <c r="G22" s="243"/>
      <c r="H22" s="14"/>
      <c r="N22" s="49" t="s">
        <v>1377</v>
      </c>
      <c r="O22" s="52" t="s">
        <v>1378</v>
      </c>
      <c r="P22" s="52"/>
    </row>
    <row r="23" spans="2:18" s="4" customFormat="1" x14ac:dyDescent="0.3">
      <c r="B23" s="238" t="s">
        <v>1011</v>
      </c>
      <c r="C23" s="233" t="s">
        <v>192</v>
      </c>
      <c r="D23" s="114"/>
      <c r="E23" s="114">
        <f>[5]Mildenhall!D27</f>
        <v>2500</v>
      </c>
      <c r="F23" s="114">
        <f t="shared" si="2"/>
        <v>-2500</v>
      </c>
      <c r="G23" s="243"/>
      <c r="H23" s="14"/>
      <c r="N23" s="49" t="s">
        <v>1381</v>
      </c>
      <c r="O23" s="52" t="s">
        <v>1378</v>
      </c>
      <c r="P23" s="52" t="s">
        <v>1380</v>
      </c>
    </row>
    <row r="24" spans="2:18" s="4" customFormat="1" x14ac:dyDescent="0.3">
      <c r="B24" s="238" t="s">
        <v>1012</v>
      </c>
      <c r="C24" s="233" t="s">
        <v>193</v>
      </c>
      <c r="D24" s="114"/>
      <c r="E24" s="114">
        <f>[5]Mildenhall!D28</f>
        <v>2510</v>
      </c>
      <c r="F24" s="114">
        <f t="shared" si="2"/>
        <v>-2510</v>
      </c>
      <c r="G24" s="243"/>
      <c r="H24" s="14"/>
      <c r="N24" s="49"/>
      <c r="O24" s="52"/>
      <c r="P24" s="52"/>
      <c r="R24" s="4" t="s">
        <v>1626</v>
      </c>
    </row>
    <row r="25" spans="2:18" s="4" customFormat="1" x14ac:dyDescent="0.3">
      <c r="B25" s="238" t="s">
        <v>1013</v>
      </c>
      <c r="C25" s="233" t="s">
        <v>194</v>
      </c>
      <c r="D25" s="114"/>
      <c r="E25" s="114">
        <f>[5]Mildenhall!D29</f>
        <v>2200</v>
      </c>
      <c r="F25" s="114">
        <f t="shared" si="2"/>
        <v>-2200</v>
      </c>
      <c r="G25" s="243"/>
      <c r="H25" s="14"/>
      <c r="N25" s="49" t="s">
        <v>1377</v>
      </c>
      <c r="O25" s="52" t="s">
        <v>1378</v>
      </c>
      <c r="P25" s="52" t="s">
        <v>1380</v>
      </c>
    </row>
    <row r="26" spans="2:18" s="4" customFormat="1" x14ac:dyDescent="0.3">
      <c r="B26" s="238" t="s">
        <v>1014</v>
      </c>
      <c r="C26" s="233" t="s">
        <v>195</v>
      </c>
      <c r="D26" s="114"/>
      <c r="E26" s="114">
        <f>[5]Mildenhall!D30</f>
        <v>0</v>
      </c>
      <c r="F26" s="114">
        <f t="shared" si="2"/>
        <v>0</v>
      </c>
      <c r="G26" s="243"/>
      <c r="H26" s="14"/>
      <c r="N26" s="49" t="s">
        <v>1377</v>
      </c>
      <c r="O26" s="52" t="s">
        <v>1378</v>
      </c>
      <c r="P26" s="52" t="s">
        <v>1380</v>
      </c>
    </row>
    <row r="27" spans="2:18" s="4" customFormat="1" x14ac:dyDescent="0.3">
      <c r="B27" s="238" t="s">
        <v>1015</v>
      </c>
      <c r="C27" s="233" t="s">
        <v>196</v>
      </c>
      <c r="D27" s="114"/>
      <c r="E27" s="114">
        <f>[5]Mildenhall!D31</f>
        <v>0</v>
      </c>
      <c r="F27" s="114">
        <f t="shared" si="2"/>
        <v>0</v>
      </c>
      <c r="G27" s="243"/>
      <c r="H27" s="14"/>
      <c r="N27" s="49" t="s">
        <v>1377</v>
      </c>
      <c r="O27" s="52" t="s">
        <v>1378</v>
      </c>
      <c r="P27" s="52"/>
    </row>
    <row r="28" spans="2:18" s="4" customFormat="1" x14ac:dyDescent="0.3">
      <c r="B28" s="238" t="s">
        <v>1016</v>
      </c>
      <c r="C28" s="233" t="s">
        <v>10</v>
      </c>
      <c r="D28" s="114"/>
      <c r="E28" s="114">
        <f>[5]Mildenhall!D32</f>
        <v>12000</v>
      </c>
      <c r="F28" s="114">
        <f t="shared" si="2"/>
        <v>-12000</v>
      </c>
      <c r="G28" s="243"/>
      <c r="H28" s="14"/>
      <c r="N28" s="49" t="s">
        <v>1381</v>
      </c>
      <c r="O28" s="49" t="s">
        <v>1382</v>
      </c>
      <c r="P28" s="49" t="s">
        <v>1379</v>
      </c>
      <c r="R28" s="49" t="s">
        <v>1626</v>
      </c>
    </row>
    <row r="29" spans="2:18" s="4" customFormat="1" x14ac:dyDescent="0.3">
      <c r="B29" s="238" t="s">
        <v>1017</v>
      </c>
      <c r="C29" s="233" t="s">
        <v>197</v>
      </c>
      <c r="D29" s="114"/>
      <c r="E29" s="114">
        <f>[5]Mildenhall!D33</f>
        <v>3900</v>
      </c>
      <c r="F29" s="114">
        <f t="shared" si="2"/>
        <v>-3900</v>
      </c>
      <c r="G29" s="243"/>
      <c r="H29" s="14"/>
      <c r="N29" s="49" t="s">
        <v>1381</v>
      </c>
      <c r="O29" s="49" t="s">
        <v>1382</v>
      </c>
      <c r="P29" s="49" t="s">
        <v>1379</v>
      </c>
    </row>
    <row r="30" spans="2:18" s="4" customFormat="1" x14ac:dyDescent="0.3">
      <c r="B30" s="611" t="s">
        <v>1018</v>
      </c>
      <c r="C30" s="606" t="s">
        <v>198</v>
      </c>
      <c r="D30" s="612"/>
      <c r="E30" s="114">
        <f>[5]Mildenhall!D34</f>
        <v>1000</v>
      </c>
      <c r="F30" s="612">
        <f t="shared" si="2"/>
        <v>-1000</v>
      </c>
      <c r="G30" s="607"/>
      <c r="H30" s="14"/>
      <c r="N30" s="49" t="s">
        <v>1377</v>
      </c>
      <c r="O30" s="52" t="s">
        <v>1378</v>
      </c>
      <c r="P30" s="52" t="s">
        <v>1380</v>
      </c>
    </row>
    <row r="31" spans="2:18" s="4" customFormat="1" x14ac:dyDescent="0.3">
      <c r="B31" s="238" t="s">
        <v>1019</v>
      </c>
      <c r="C31" s="233" t="s">
        <v>199</v>
      </c>
      <c r="D31" s="114"/>
      <c r="E31" s="114">
        <f>[5]Mildenhall!D35</f>
        <v>12000</v>
      </c>
      <c r="F31" s="114">
        <f t="shared" si="2"/>
        <v>-12000</v>
      </c>
      <c r="G31" s="243"/>
      <c r="H31" s="14"/>
      <c r="N31" s="49" t="s">
        <v>1377</v>
      </c>
      <c r="O31" s="52" t="s">
        <v>1378</v>
      </c>
      <c r="P31" s="52"/>
    </row>
    <row r="32" spans="2:18" s="4" customFormat="1" x14ac:dyDescent="0.3">
      <c r="B32" s="238" t="s">
        <v>1020</v>
      </c>
      <c r="C32" s="233" t="s">
        <v>200</v>
      </c>
      <c r="D32" s="416"/>
      <c r="E32" s="114">
        <f>[5]Mildenhall!D36</f>
        <v>5250</v>
      </c>
      <c r="F32" s="114">
        <f t="shared" si="2"/>
        <v>-5250</v>
      </c>
      <c r="G32" s="243"/>
      <c r="H32" s="14"/>
      <c r="N32" s="49" t="s">
        <v>1381</v>
      </c>
      <c r="O32" s="52" t="s">
        <v>1382</v>
      </c>
      <c r="P32" s="49" t="s">
        <v>1379</v>
      </c>
    </row>
    <row r="33" spans="2:18" s="4" customFormat="1" x14ac:dyDescent="0.3">
      <c r="B33" s="238"/>
      <c r="C33" s="624" t="s">
        <v>618</v>
      </c>
      <c r="D33" s="416">
        <v>-22849</v>
      </c>
      <c r="E33" s="114">
        <f>[5]Mildenhall!D37</f>
        <v>0</v>
      </c>
      <c r="F33" s="114">
        <v>-22849</v>
      </c>
      <c r="G33" s="243"/>
      <c r="H33" s="14"/>
      <c r="N33" s="49"/>
      <c r="O33" s="52"/>
      <c r="P33" s="49"/>
    </row>
    <row r="34" spans="2:18" s="11" customFormat="1" ht="28.5" thickBot="1" x14ac:dyDescent="0.35">
      <c r="B34" s="248" t="s">
        <v>1021</v>
      </c>
      <c r="C34" s="249" t="s">
        <v>201</v>
      </c>
      <c r="D34" s="250">
        <f>[4]Mildenhall!$G$34+D33</f>
        <v>132490</v>
      </c>
      <c r="E34" s="250">
        <f>SUM(E18:E32)</f>
        <v>63423.44</v>
      </c>
      <c r="F34" s="250">
        <f>D34-E34</f>
        <v>69066.559999999998</v>
      </c>
      <c r="G34" s="227">
        <f t="shared" si="0"/>
        <v>0.47870000000000001</v>
      </c>
      <c r="H34" s="93">
        <f t="shared" ref="H34" si="3">G34</f>
        <v>0.47870000000000001</v>
      </c>
    </row>
    <row r="35" spans="2:18" s="4" customFormat="1" x14ac:dyDescent="0.3">
      <c r="B35" s="230"/>
      <c r="C35" s="233"/>
      <c r="D35" s="114"/>
      <c r="E35" s="114"/>
      <c r="F35" s="114"/>
      <c r="G35" s="241"/>
      <c r="H35" s="14"/>
    </row>
    <row r="36" spans="2:18" s="3" customFormat="1" ht="14.5" thickBot="1" x14ac:dyDescent="0.35">
      <c r="B36" s="532" t="s">
        <v>1022</v>
      </c>
      <c r="C36" s="533" t="s">
        <v>202</v>
      </c>
      <c r="D36" s="599">
        <f>[4]Mildenhall!$E$36</f>
        <v>69307</v>
      </c>
      <c r="E36" s="599">
        <f>[5]Mildenhall!$D$40</f>
        <v>35000</v>
      </c>
      <c r="F36" s="599">
        <f>D36-E36</f>
        <v>34307</v>
      </c>
      <c r="G36" s="600">
        <f t="shared" si="0"/>
        <v>0.505</v>
      </c>
      <c r="H36" s="14">
        <f t="shared" si="1"/>
        <v>0.505</v>
      </c>
      <c r="N36" s="4" t="s">
        <v>1381</v>
      </c>
      <c r="O36" s="4" t="s">
        <v>1382</v>
      </c>
      <c r="P36" s="4" t="s">
        <v>1379</v>
      </c>
      <c r="R36" s="3">
        <v>3926</v>
      </c>
    </row>
    <row r="37" spans="2:18" s="4" customFormat="1" x14ac:dyDescent="0.3">
      <c r="B37" s="230"/>
      <c r="C37" s="247"/>
      <c r="D37" s="145"/>
      <c r="E37" s="145"/>
      <c r="F37" s="145"/>
      <c r="G37" s="241"/>
      <c r="H37" s="14"/>
    </row>
    <row r="38" spans="2:18" s="4" customFormat="1" x14ac:dyDescent="0.3">
      <c r="B38" s="238" t="s">
        <v>1023</v>
      </c>
      <c r="C38" s="233" t="s">
        <v>203</v>
      </c>
      <c r="D38" s="114">
        <f>[4]Mildenhall!E38</f>
        <v>12000</v>
      </c>
      <c r="E38" s="114">
        <f>[5]Mildenhall!$D$42</f>
        <v>3700</v>
      </c>
      <c r="F38" s="114">
        <f>D38-E38</f>
        <v>8300</v>
      </c>
      <c r="G38" s="243">
        <f t="shared" si="0"/>
        <v>0.30830000000000002</v>
      </c>
      <c r="H38" s="14"/>
      <c r="N38" s="4" t="s">
        <v>1377</v>
      </c>
      <c r="O38" s="4" t="s">
        <v>1378</v>
      </c>
      <c r="P38" s="4" t="s">
        <v>1380</v>
      </c>
    </row>
    <row r="39" spans="2:18" s="4" customFormat="1" x14ac:dyDescent="0.3">
      <c r="B39" s="238" t="s">
        <v>1024</v>
      </c>
      <c r="C39" s="233" t="s">
        <v>204</v>
      </c>
      <c r="D39" s="114">
        <f>[4]Mildenhall!E39</f>
        <v>33233</v>
      </c>
      <c r="E39" s="114">
        <f>[5]Mildenhall!$D$43</f>
        <v>6000</v>
      </c>
      <c r="F39" s="114">
        <f>D39-E39</f>
        <v>27233</v>
      </c>
      <c r="G39" s="243">
        <f t="shared" si="0"/>
        <v>0.18049999999999999</v>
      </c>
      <c r="H39" s="14"/>
      <c r="N39" s="4" t="s">
        <v>1381</v>
      </c>
      <c r="O39" s="4" t="s">
        <v>1382</v>
      </c>
      <c r="P39" s="4" t="s">
        <v>1379</v>
      </c>
      <c r="R39" s="3">
        <v>5000</v>
      </c>
    </row>
    <row r="40" spans="2:18" s="4" customFormat="1" x14ac:dyDescent="0.3">
      <c r="B40" s="238" t="s">
        <v>1005</v>
      </c>
      <c r="C40" s="233" t="s">
        <v>186</v>
      </c>
      <c r="D40" s="114">
        <f>[4]Mildenhall!E40</f>
        <v>20000</v>
      </c>
      <c r="E40" s="114">
        <f>[5]Mildenhall!$D$44</f>
        <v>10000</v>
      </c>
      <c r="F40" s="114">
        <f>D40-E40</f>
        <v>10000</v>
      </c>
      <c r="G40" s="243">
        <f t="shared" si="0"/>
        <v>0.5</v>
      </c>
      <c r="H40" s="14"/>
    </row>
    <row r="41" spans="2:18" s="4" customFormat="1" x14ac:dyDescent="0.3">
      <c r="B41" s="230"/>
      <c r="C41" s="181" t="s">
        <v>618</v>
      </c>
      <c r="D41" s="145">
        <v>-24251</v>
      </c>
      <c r="E41" s="145"/>
      <c r="F41" s="145">
        <f>D41</f>
        <v>-24251</v>
      </c>
      <c r="G41" s="188"/>
      <c r="H41" s="14"/>
    </row>
    <row r="42" spans="2:18" s="3" customFormat="1" ht="14.5" thickBot="1" x14ac:dyDescent="0.35">
      <c r="B42" s="248" t="s">
        <v>1025</v>
      </c>
      <c r="C42" s="249" t="s">
        <v>205</v>
      </c>
      <c r="D42" s="250">
        <f>SUM(D38:D41)</f>
        <v>40982</v>
      </c>
      <c r="E42" s="250">
        <f t="shared" ref="E42:F42" si="4">SUM(E38:E41)</f>
        <v>19700</v>
      </c>
      <c r="F42" s="250">
        <f t="shared" si="4"/>
        <v>21282</v>
      </c>
      <c r="G42" s="227">
        <f t="shared" si="0"/>
        <v>0.48070000000000002</v>
      </c>
      <c r="H42" s="14">
        <f t="shared" si="1"/>
        <v>0.48070000000000002</v>
      </c>
      <c r="R42" s="594">
        <f>SUM(R35:R39)</f>
        <v>8926</v>
      </c>
    </row>
    <row r="43" spans="2:18" s="4" customFormat="1" x14ac:dyDescent="0.3">
      <c r="B43" s="230"/>
      <c r="C43" s="233"/>
      <c r="D43" s="114"/>
      <c r="E43" s="114"/>
      <c r="F43" s="114"/>
      <c r="G43" s="241"/>
      <c r="H43" s="14"/>
    </row>
    <row r="44" spans="2:18" s="3" customFormat="1" ht="14.5" thickBot="1" x14ac:dyDescent="0.35">
      <c r="B44" s="222"/>
      <c r="C44" s="226" t="s">
        <v>619</v>
      </c>
      <c r="D44" s="109">
        <f>SUM(D42,D36,D16,D8)+SUM(D34)-D41-D33</f>
        <v>368656</v>
      </c>
      <c r="E44" s="109">
        <f>SUM(E42,E36,E16,E8)+SUM(E18:E32)-E41</f>
        <v>145598.44</v>
      </c>
      <c r="F44" s="109">
        <f>D44-E44</f>
        <v>223057.56</v>
      </c>
      <c r="G44" s="282">
        <f t="shared" si="0"/>
        <v>0.39489999999999997</v>
      </c>
    </row>
    <row r="45" spans="2:18" s="3" customFormat="1" x14ac:dyDescent="0.3">
      <c r="B45" s="258"/>
      <c r="C45" s="284"/>
      <c r="D45" s="236"/>
      <c r="E45" s="236"/>
      <c r="F45" s="236"/>
      <c r="G45" s="292"/>
    </row>
    <row r="46" spans="2:18" s="3" customFormat="1" x14ac:dyDescent="0.3">
      <c r="B46" s="258"/>
      <c r="C46" s="284"/>
      <c r="D46" s="236"/>
      <c r="E46" s="236"/>
      <c r="F46" s="236"/>
      <c r="G46" s="292"/>
    </row>
    <row r="47" spans="2:18" s="3" customFormat="1" ht="14.5" thickBot="1" x14ac:dyDescent="0.35">
      <c r="B47" s="222"/>
      <c r="C47" s="226" t="s">
        <v>1543</v>
      </c>
      <c r="D47" s="109">
        <f>D44+D9+D33</f>
        <v>307880</v>
      </c>
      <c r="E47" s="109">
        <f>E44+E41</f>
        <v>145598.44</v>
      </c>
      <c r="F47" s="109">
        <f>F44+F41</f>
        <v>198806.56</v>
      </c>
      <c r="G47" s="282">
        <f t="shared" ref="G47" si="5">ROUND((E47/D47),4)</f>
        <v>0.47289999999999999</v>
      </c>
    </row>
    <row r="48" spans="2:18" s="4" customFormat="1" x14ac:dyDescent="0.3">
      <c r="B48" s="238"/>
      <c r="C48" s="233"/>
      <c r="D48" s="114"/>
      <c r="E48" s="114"/>
      <c r="F48" s="114"/>
      <c r="G48" s="188"/>
    </row>
    <row r="49" spans="2:7" s="4" customFormat="1" ht="14.5" thickBot="1" x14ac:dyDescent="0.35">
      <c r="B49" s="293"/>
      <c r="C49" s="226" t="s">
        <v>1630</v>
      </c>
      <c r="D49" s="109">
        <f>[7]Mildenhall!$D$51</f>
        <v>322015</v>
      </c>
      <c r="E49" s="109">
        <v>166210</v>
      </c>
      <c r="F49" s="109">
        <f>D49-E49</f>
        <v>155805</v>
      </c>
      <c r="G49" s="282">
        <f>E49/D49</f>
        <v>0.51615607968572896</v>
      </c>
    </row>
    <row r="50" spans="2:7" s="4" customFormat="1" x14ac:dyDescent="0.3">
      <c r="G50" s="9"/>
    </row>
    <row r="51" spans="2:7" s="4" customFormat="1" x14ac:dyDescent="0.3">
      <c r="G51" s="9"/>
    </row>
    <row r="52" spans="2:7" s="4" customFormat="1" x14ac:dyDescent="0.3">
      <c r="G52" s="9"/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</sheetData>
  <mergeCells count="1">
    <mergeCell ref="D4:E4"/>
  </mergeCells>
  <dataValidations disablePrompts="1" count="3">
    <dataValidation type="list" allowBlank="1" showInputMessage="1" showErrorMessage="1" sqref="P8:P9 P18:P33" xr:uid="{00000000-0002-0000-0A00-000000000000}">
      <formula1>"Every 2 Months,Monthly,Quarterly,Other,No Pattern"</formula1>
    </dataValidation>
    <dataValidation type="list" allowBlank="1" showInputMessage="1" showErrorMessage="1" sqref="O8:O9 O18:O33" xr:uid="{00000000-0002-0000-0A00-000001000000}">
      <formula1>"Yes,No"</formula1>
    </dataValidation>
    <dataValidation type="list" allowBlank="1" showInputMessage="1" showErrorMessage="1" sqref="N8:N9 N18:N33" xr:uid="{00000000-0002-0000-0A00-000002000000}">
      <formula1>"BACS,Cheque,Both,CBF Deposit"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0"/>
  <sheetViews>
    <sheetView zoomScaleNormal="100" workbookViewId="0">
      <selection activeCell="E8" sqref="E8"/>
    </sheetView>
  </sheetViews>
  <sheetFormatPr defaultRowHeight="14" x14ac:dyDescent="0.3"/>
  <cols>
    <col min="1" max="1" width="9" style="24"/>
    <col min="2" max="2" width="10.83203125" style="24" bestFit="1" customWidth="1"/>
    <col min="3" max="3" width="44.08203125" customWidth="1"/>
    <col min="4" max="6" width="12" bestFit="1" customWidth="1"/>
    <col min="7" max="7" width="12.5" style="8" bestFit="1" customWidth="1"/>
    <col min="8" max="10" width="9" hidden="1" customWidth="1"/>
    <col min="11" max="11" width="19.33203125" hidden="1" customWidth="1"/>
    <col min="12" max="12" width="9" hidden="1" customWidth="1"/>
    <col min="13" max="13" width="2.5" hidden="1" customWidth="1"/>
    <col min="14" max="14" width="16.75" hidden="1" customWidth="1"/>
    <col min="15" max="15" width="15.5" hidden="1" customWidth="1"/>
    <col min="16" max="16" width="10.83203125" hidden="1" customWidth="1"/>
    <col min="17" max="25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COUNTIF(H8:H50,"&gt;1")</f>
        <v>0</v>
      </c>
    </row>
    <row r="4" spans="2:16" s="3" customFormat="1" ht="23" thickBot="1" x14ac:dyDescent="0.5">
      <c r="B4" s="120"/>
      <c r="C4" s="101" t="s">
        <v>207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COUNTIF(H8:H50,1)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COUNTIFS(H8:H50,"&gt;="&amp;Target,H8:H50,"&lt;"&amp;1)</f>
        <v>3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1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83"/>
      <c r="C7" s="97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4" customFormat="1" x14ac:dyDescent="0.3">
      <c r="B8" s="238" t="s">
        <v>1026</v>
      </c>
      <c r="C8" s="233" t="s">
        <v>208</v>
      </c>
      <c r="D8" s="114">
        <f>[4]Stowmarket!E8</f>
        <v>24043</v>
      </c>
      <c r="E8" s="114">
        <f>[5]Stowmarket!D8</f>
        <v>14000</v>
      </c>
      <c r="F8" s="114">
        <f>D8-E8</f>
        <v>10043</v>
      </c>
      <c r="G8" s="243">
        <f>ROUND((E8/D8),4)</f>
        <v>0.58230000000000004</v>
      </c>
      <c r="H8" s="16"/>
      <c r="J8" s="13"/>
      <c r="K8" s="13"/>
      <c r="L8" s="13">
        <f>SUM(L3:L7)</f>
        <v>4</v>
      </c>
      <c r="N8" s="4" t="s">
        <v>1377</v>
      </c>
      <c r="O8" s="4" t="s">
        <v>1378</v>
      </c>
      <c r="P8" s="4" t="s">
        <v>1379</v>
      </c>
    </row>
    <row r="9" spans="2:16" s="4" customFormat="1" x14ac:dyDescent="0.3">
      <c r="B9" s="238" t="s">
        <v>1027</v>
      </c>
      <c r="C9" s="233" t="s">
        <v>209</v>
      </c>
      <c r="D9" s="114">
        <f>[4]Stowmarket!E9</f>
        <v>10743</v>
      </c>
      <c r="E9" s="114">
        <f>[5]Stowmarket!D9</f>
        <v>5210</v>
      </c>
      <c r="F9" s="114">
        <f t="shared" ref="F9:F38" si="0">D9-E9</f>
        <v>5533</v>
      </c>
      <c r="G9" s="243">
        <f t="shared" ref="G9:G38" si="1">ROUND((E9/D9),4)</f>
        <v>0.48499999999999999</v>
      </c>
      <c r="H9" s="16"/>
      <c r="J9" s="13"/>
      <c r="N9" s="4" t="s">
        <v>1377</v>
      </c>
      <c r="O9" s="4" t="s">
        <v>1378</v>
      </c>
      <c r="P9" s="4" t="s">
        <v>1379</v>
      </c>
    </row>
    <row r="10" spans="2:16" s="4" customFormat="1" x14ac:dyDescent="0.3">
      <c r="B10" s="238" t="s">
        <v>1356</v>
      </c>
      <c r="C10" s="233" t="s">
        <v>210</v>
      </c>
      <c r="D10" s="114">
        <f>[4]Stowmarket!E10</f>
        <v>2729</v>
      </c>
      <c r="E10" s="114">
        <f>[5]Stowmarket!D10</f>
        <v>2729</v>
      </c>
      <c r="F10" s="114">
        <f t="shared" si="0"/>
        <v>0</v>
      </c>
      <c r="G10" s="243">
        <f t="shared" si="1"/>
        <v>1</v>
      </c>
      <c r="H10" s="16"/>
      <c r="K10" s="13"/>
      <c r="L10" s="13"/>
      <c r="N10" s="4" t="s">
        <v>1377</v>
      </c>
      <c r="O10" s="4" t="s">
        <v>1378</v>
      </c>
      <c r="P10" s="4" t="s">
        <v>1383</v>
      </c>
    </row>
    <row r="11" spans="2:16" s="4" customFormat="1" x14ac:dyDescent="0.3">
      <c r="B11" s="238" t="s">
        <v>1028</v>
      </c>
      <c r="C11" s="233" t="s">
        <v>211</v>
      </c>
      <c r="D11" s="114">
        <f>[4]Stowmarket!E11</f>
        <v>14494</v>
      </c>
      <c r="E11" s="114">
        <f>[5]Stowmarket!D11</f>
        <v>8250</v>
      </c>
      <c r="F11" s="114">
        <f t="shared" si="0"/>
        <v>6244</v>
      </c>
      <c r="G11" s="243">
        <f t="shared" si="1"/>
        <v>0.56920000000000004</v>
      </c>
      <c r="H11" s="16"/>
      <c r="K11" s="13"/>
      <c r="N11" s="4" t="s">
        <v>1377</v>
      </c>
      <c r="O11" s="4" t="s">
        <v>1378</v>
      </c>
      <c r="P11" s="4" t="s">
        <v>1379</v>
      </c>
    </row>
    <row r="12" spans="2:16" s="4" customFormat="1" x14ac:dyDescent="0.3">
      <c r="B12" s="238" t="s">
        <v>1029</v>
      </c>
      <c r="C12" s="233" t="s">
        <v>212</v>
      </c>
      <c r="D12" s="114">
        <f>[4]Stowmarket!E12</f>
        <v>9038</v>
      </c>
      <c r="E12" s="114">
        <f>[5]Stowmarket!D12</f>
        <v>5273</v>
      </c>
      <c r="F12" s="114">
        <f t="shared" si="0"/>
        <v>3765</v>
      </c>
      <c r="G12" s="243">
        <f t="shared" si="1"/>
        <v>0.58340000000000003</v>
      </c>
      <c r="H12" s="16"/>
    </row>
    <row r="13" spans="2:16" s="4" customFormat="1" x14ac:dyDescent="0.3">
      <c r="B13" s="230" t="s">
        <v>1030</v>
      </c>
      <c r="C13" s="247" t="s">
        <v>213</v>
      </c>
      <c r="D13" s="114">
        <f>[4]Stowmarket!E13</f>
        <v>7163</v>
      </c>
      <c r="E13" s="114">
        <f>[5]Stowmarket!D13</f>
        <v>4200</v>
      </c>
      <c r="F13" s="145">
        <f t="shared" si="0"/>
        <v>2963</v>
      </c>
      <c r="G13" s="241">
        <f t="shared" si="1"/>
        <v>0.58630000000000004</v>
      </c>
      <c r="H13" s="16"/>
      <c r="N13" s="4" t="s">
        <v>1386</v>
      </c>
      <c r="O13" s="4" t="s">
        <v>1378</v>
      </c>
      <c r="P13" s="4" t="s">
        <v>1379</v>
      </c>
    </row>
    <row r="14" spans="2:16" s="11" customFormat="1" ht="28.5" thickBot="1" x14ac:dyDescent="0.35">
      <c r="B14" s="248" t="s">
        <v>1031</v>
      </c>
      <c r="C14" s="249" t="s">
        <v>221</v>
      </c>
      <c r="D14" s="250">
        <f>SUM(D8:D13)</f>
        <v>68210</v>
      </c>
      <c r="E14" s="250">
        <f>SUM(E8:E13)</f>
        <v>39662</v>
      </c>
      <c r="F14" s="250">
        <f t="shared" si="0"/>
        <v>28548</v>
      </c>
      <c r="G14" s="227">
        <f t="shared" ref="G14" si="2">ROUND((E14/D14),4)</f>
        <v>0.58150000000000002</v>
      </c>
      <c r="H14" s="17">
        <f t="shared" ref="H14:H28" si="3">G14</f>
        <v>0.58150000000000002</v>
      </c>
    </row>
    <row r="15" spans="2:16" s="4" customFormat="1" x14ac:dyDescent="0.3">
      <c r="B15" s="238"/>
      <c r="C15" s="233"/>
      <c r="D15" s="114"/>
      <c r="E15" s="114"/>
      <c r="F15" s="114"/>
      <c r="G15" s="243"/>
      <c r="H15" s="16"/>
    </row>
    <row r="16" spans="2:16" s="4" customFormat="1" x14ac:dyDescent="0.3">
      <c r="B16" s="613" t="s">
        <v>1032</v>
      </c>
      <c r="C16" s="614" t="s">
        <v>214</v>
      </c>
      <c r="D16" s="615">
        <f>[4]Stowmarket!E16</f>
        <v>27541</v>
      </c>
      <c r="E16" s="615">
        <f>[5]Stowmarket!D16</f>
        <v>17541</v>
      </c>
      <c r="F16" s="615">
        <f t="shared" ref="F16:F17" si="4">D16-E16</f>
        <v>10000</v>
      </c>
      <c r="G16" s="616">
        <f t="shared" ref="G16:G17" si="5">ROUND((E16/D16),4)</f>
        <v>0.63690000000000002</v>
      </c>
      <c r="H16" s="16"/>
      <c r="N16" s="4" t="s">
        <v>1377</v>
      </c>
      <c r="O16" s="4" t="s">
        <v>1378</v>
      </c>
      <c r="P16" s="4" t="s">
        <v>1379</v>
      </c>
    </row>
    <row r="17" spans="2:16" s="4" customFormat="1" x14ac:dyDescent="0.3">
      <c r="B17" s="238" t="s">
        <v>1033</v>
      </c>
      <c r="C17" s="233" t="s">
        <v>215</v>
      </c>
      <c r="D17" s="114">
        <f>[4]Stowmarket!E17</f>
        <v>7079</v>
      </c>
      <c r="E17" s="114">
        <f>[5]Stowmarket!D17</f>
        <v>4134</v>
      </c>
      <c r="F17" s="114">
        <f t="shared" si="4"/>
        <v>2945</v>
      </c>
      <c r="G17" s="243">
        <f t="shared" si="5"/>
        <v>0.58399999999999996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1034</v>
      </c>
      <c r="C18" s="233" t="s">
        <v>216</v>
      </c>
      <c r="D18" s="114">
        <f>[4]Stowmarket!E18</f>
        <v>10506</v>
      </c>
      <c r="E18" s="114">
        <f>[5]Stowmarket!D18</f>
        <v>6131</v>
      </c>
      <c r="F18" s="114">
        <f t="shared" si="0"/>
        <v>4375</v>
      </c>
      <c r="G18" s="243">
        <f t="shared" si="1"/>
        <v>0.58360000000000001</v>
      </c>
      <c r="H18" s="16"/>
      <c r="N18" s="4" t="s">
        <v>1381</v>
      </c>
      <c r="O18" s="4" t="s">
        <v>1382</v>
      </c>
      <c r="P18" s="4" t="s">
        <v>1379</v>
      </c>
    </row>
    <row r="19" spans="2:16" s="4" customFormat="1" x14ac:dyDescent="0.3">
      <c r="B19" s="238" t="s">
        <v>1035</v>
      </c>
      <c r="C19" s="233" t="s">
        <v>217</v>
      </c>
      <c r="D19" s="114">
        <f>[4]Stowmarket!E19</f>
        <v>9407</v>
      </c>
      <c r="E19" s="114">
        <f>[5]Stowmarket!D19</f>
        <v>9407</v>
      </c>
      <c r="F19" s="114">
        <f t="shared" si="0"/>
        <v>0</v>
      </c>
      <c r="G19" s="243">
        <f t="shared" si="1"/>
        <v>1</v>
      </c>
      <c r="H19" s="16"/>
      <c r="N19" s="4" t="s">
        <v>1377</v>
      </c>
      <c r="O19" s="4" t="s">
        <v>1378</v>
      </c>
      <c r="P19" s="4" t="s">
        <v>1383</v>
      </c>
    </row>
    <row r="20" spans="2:16" s="4" customFormat="1" x14ac:dyDescent="0.3">
      <c r="B20" s="238" t="s">
        <v>1036</v>
      </c>
      <c r="C20" s="233" t="s">
        <v>218</v>
      </c>
      <c r="D20" s="114">
        <f>[4]Stowmarket!E20</f>
        <v>4456</v>
      </c>
      <c r="E20" s="114">
        <f>[5]Stowmarket!D20</f>
        <v>2601</v>
      </c>
      <c r="F20" s="114">
        <f t="shared" si="0"/>
        <v>1855</v>
      </c>
      <c r="G20" s="243">
        <f t="shared" si="1"/>
        <v>0.5837</v>
      </c>
      <c r="H20" s="16"/>
      <c r="N20" s="4" t="s">
        <v>1381</v>
      </c>
      <c r="O20" s="4" t="s">
        <v>1382</v>
      </c>
      <c r="P20" s="4" t="s">
        <v>1379</v>
      </c>
    </row>
    <row r="21" spans="2:16" s="4" customFormat="1" x14ac:dyDescent="0.3">
      <c r="B21" s="238" t="s">
        <v>1037</v>
      </c>
      <c r="C21" s="233" t="s">
        <v>219</v>
      </c>
      <c r="D21" s="114">
        <f>[4]Stowmarket!E21</f>
        <v>7100</v>
      </c>
      <c r="E21" s="114">
        <f>[5]Stowmarket!D21</f>
        <v>3550</v>
      </c>
      <c r="F21" s="114">
        <f t="shared" si="0"/>
        <v>3550</v>
      </c>
      <c r="G21" s="243">
        <f t="shared" si="1"/>
        <v>0.5</v>
      </c>
      <c r="H21" s="16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0" t="s">
        <v>1038</v>
      </c>
      <c r="C22" s="247" t="s">
        <v>220</v>
      </c>
      <c r="D22" s="145">
        <f>[4]Stowmarket!E22</f>
        <v>5337</v>
      </c>
      <c r="E22" s="145">
        <f>[5]Stowmarket!D22</f>
        <v>2675</v>
      </c>
      <c r="F22" s="145">
        <f t="shared" si="0"/>
        <v>2662</v>
      </c>
      <c r="G22" s="243">
        <f t="shared" si="1"/>
        <v>0.50119999999999998</v>
      </c>
      <c r="H22" s="16"/>
      <c r="N22" s="4" t="s">
        <v>1381</v>
      </c>
      <c r="O22" s="4" t="s">
        <v>1378</v>
      </c>
      <c r="P22" s="4" t="s">
        <v>1383</v>
      </c>
    </row>
    <row r="23" spans="2:16" s="11" customFormat="1" ht="42.5" thickBot="1" x14ac:dyDescent="0.35">
      <c r="B23" s="248" t="s">
        <v>1039</v>
      </c>
      <c r="C23" s="249" t="s">
        <v>1395</v>
      </c>
      <c r="D23" s="250">
        <f>SUM(D16:D22)</f>
        <v>71426</v>
      </c>
      <c r="E23" s="250">
        <f>SUM(E16:E22)</f>
        <v>46039</v>
      </c>
      <c r="F23" s="250">
        <f t="shared" si="0"/>
        <v>25387</v>
      </c>
      <c r="G23" s="227">
        <f t="shared" si="1"/>
        <v>0.64459999999999995</v>
      </c>
      <c r="H23" s="17">
        <f t="shared" si="3"/>
        <v>0.64459999999999995</v>
      </c>
    </row>
    <row r="24" spans="2:16" s="4" customFormat="1" x14ac:dyDescent="0.3">
      <c r="B24" s="238"/>
      <c r="C24" s="233"/>
      <c r="D24" s="114"/>
      <c r="E24" s="114"/>
      <c r="F24" s="114"/>
      <c r="G24" s="243"/>
      <c r="H24" s="16"/>
    </row>
    <row r="25" spans="2:16" s="4" customFormat="1" x14ac:dyDescent="0.3">
      <c r="B25" s="238" t="s">
        <v>1040</v>
      </c>
      <c r="C25" s="278" t="s">
        <v>222</v>
      </c>
      <c r="D25" s="114">
        <f>[4]Stowmarket!E25</f>
        <v>27603</v>
      </c>
      <c r="E25" s="114">
        <f>[5]Stowmarket!D25</f>
        <v>22503</v>
      </c>
      <c r="F25" s="114">
        <f t="shared" si="0"/>
        <v>5100</v>
      </c>
      <c r="G25" s="243">
        <f t="shared" si="1"/>
        <v>0.81520000000000004</v>
      </c>
      <c r="H25" s="16"/>
      <c r="N25" s="4" t="s">
        <v>1384</v>
      </c>
      <c r="O25" s="4" t="s">
        <v>1382</v>
      </c>
      <c r="P25" s="4" t="s">
        <v>1379</v>
      </c>
    </row>
    <row r="26" spans="2:16" s="4" customFormat="1" x14ac:dyDescent="0.3">
      <c r="B26" s="238" t="s">
        <v>1041</v>
      </c>
      <c r="C26" s="233" t="s">
        <v>223</v>
      </c>
      <c r="D26" s="114">
        <f>[4]Stowmarket!E26</f>
        <v>27603</v>
      </c>
      <c r="E26" s="114">
        <f>[5]Stowmarket!D26</f>
        <v>13803</v>
      </c>
      <c r="F26" s="114">
        <f t="shared" si="0"/>
        <v>13800</v>
      </c>
      <c r="G26" s="243">
        <f t="shared" si="1"/>
        <v>0.50009999999999999</v>
      </c>
      <c r="H26" s="16"/>
      <c r="N26" s="4" t="s">
        <v>1386</v>
      </c>
      <c r="O26" s="4" t="s">
        <v>1378</v>
      </c>
      <c r="P26" s="4" t="s">
        <v>1379</v>
      </c>
    </row>
    <row r="27" spans="2:16" s="4" customFormat="1" x14ac:dyDescent="0.3">
      <c r="B27" s="230" t="s">
        <v>1042</v>
      </c>
      <c r="C27" s="247" t="s">
        <v>224</v>
      </c>
      <c r="D27" s="114">
        <f>[4]Stowmarket!E27</f>
        <v>13802</v>
      </c>
      <c r="E27" s="114">
        <f>[5]Stowmarket!D27</f>
        <v>8057</v>
      </c>
      <c r="F27" s="145">
        <f t="shared" si="0"/>
        <v>5745</v>
      </c>
      <c r="G27" s="243">
        <f t="shared" si="1"/>
        <v>0.58379999999999999</v>
      </c>
      <c r="H27" s="16"/>
      <c r="N27" s="4" t="s">
        <v>1381</v>
      </c>
      <c r="O27" s="4" t="s">
        <v>1382</v>
      </c>
      <c r="P27" s="4" t="s">
        <v>1379</v>
      </c>
    </row>
    <row r="28" spans="2:16" s="3" customFormat="1" ht="14.5" thickBot="1" x14ac:dyDescent="0.35">
      <c r="B28" s="222" t="s">
        <v>1043</v>
      </c>
      <c r="C28" s="226" t="s">
        <v>225</v>
      </c>
      <c r="D28" s="109">
        <f>SUM(D25:D27)</f>
        <v>69008</v>
      </c>
      <c r="E28" s="109">
        <f>SUM(E25:E27)</f>
        <v>44363</v>
      </c>
      <c r="F28" s="109">
        <f t="shared" si="0"/>
        <v>24645</v>
      </c>
      <c r="G28" s="227">
        <f t="shared" si="1"/>
        <v>0.64290000000000003</v>
      </c>
      <c r="H28" s="14">
        <f t="shared" si="3"/>
        <v>0.64290000000000003</v>
      </c>
    </row>
    <row r="29" spans="2:16" s="4" customFormat="1" x14ac:dyDescent="0.3">
      <c r="B29" s="238"/>
      <c r="C29" s="233"/>
      <c r="D29" s="114"/>
      <c r="E29" s="114"/>
      <c r="F29" s="114"/>
      <c r="G29" s="243"/>
      <c r="H29" s="16"/>
    </row>
    <row r="30" spans="2:16" s="4" customFormat="1" x14ac:dyDescent="0.3">
      <c r="B30" s="625" t="s">
        <v>1044</v>
      </c>
      <c r="C30" s="626" t="s">
        <v>226</v>
      </c>
      <c r="D30" s="632">
        <f>[4]Stowmarket!$E$30</f>
        <v>65930</v>
      </c>
      <c r="E30" s="627">
        <f>[5]Stowmarket!$D$30</f>
        <v>875</v>
      </c>
      <c r="F30" s="627">
        <f t="shared" ref="F30" si="6">D30-E30</f>
        <v>65055</v>
      </c>
      <c r="G30" s="628">
        <f t="shared" ref="G30" si="7">ROUND((E30/D30),4)</f>
        <v>1.3299999999999999E-2</v>
      </c>
      <c r="H30" s="16"/>
      <c r="N30" s="4" t="s">
        <v>1384</v>
      </c>
      <c r="O30" s="4" t="s">
        <v>1382</v>
      </c>
      <c r="P30" s="4" t="s">
        <v>1379</v>
      </c>
    </row>
    <row r="31" spans="2:16" s="4" customFormat="1" x14ac:dyDescent="0.3">
      <c r="B31" s="184"/>
      <c r="C31" s="89" t="s">
        <v>618</v>
      </c>
      <c r="D31" s="90">
        <v>-20950</v>
      </c>
      <c r="E31" s="90"/>
      <c r="F31" s="90">
        <f>D31</f>
        <v>-20950</v>
      </c>
      <c r="G31" s="188"/>
      <c r="H31" s="16"/>
    </row>
    <row r="32" spans="2:16" s="4" customFormat="1" ht="14.5" thickBot="1" x14ac:dyDescent="0.35">
      <c r="B32" s="124"/>
      <c r="C32" s="99" t="s">
        <v>226</v>
      </c>
      <c r="D32" s="109">
        <f>D30+D31</f>
        <v>44980</v>
      </c>
      <c r="E32" s="109">
        <f t="shared" ref="E32:F32" si="8">E30+E31</f>
        <v>875</v>
      </c>
      <c r="F32" s="109">
        <f t="shared" si="8"/>
        <v>44105</v>
      </c>
      <c r="G32" s="227">
        <f t="shared" si="1"/>
        <v>1.95E-2</v>
      </c>
      <c r="H32" s="16"/>
    </row>
    <row r="33" spans="2:16" s="4" customFormat="1" x14ac:dyDescent="0.3">
      <c r="B33" s="230"/>
      <c r="C33" s="233"/>
      <c r="D33" s="114"/>
      <c r="E33" s="114"/>
      <c r="F33" s="114"/>
      <c r="G33" s="241"/>
      <c r="H33" s="16"/>
    </row>
    <row r="34" spans="2:16" s="3" customFormat="1" ht="14.5" thickBot="1" x14ac:dyDescent="0.35">
      <c r="B34" s="222" t="s">
        <v>1045</v>
      </c>
      <c r="C34" s="226" t="s">
        <v>11</v>
      </c>
      <c r="D34" s="109">
        <f>[4]Stowmarket!$E$33</f>
        <v>73513</v>
      </c>
      <c r="E34" s="109">
        <f>[5]Stowmarket!$D$34</f>
        <v>44513</v>
      </c>
      <c r="F34" s="109">
        <f t="shared" si="0"/>
        <v>29000</v>
      </c>
      <c r="G34" s="227">
        <f t="shared" si="1"/>
        <v>0.60550000000000004</v>
      </c>
      <c r="H34" s="14">
        <f>G34</f>
        <v>0.60550000000000004</v>
      </c>
      <c r="N34" s="4" t="s">
        <v>1381</v>
      </c>
      <c r="O34" s="4" t="s">
        <v>1382</v>
      </c>
      <c r="P34" s="4" t="s">
        <v>1379</v>
      </c>
    </row>
    <row r="35" spans="2:16" s="4" customFormat="1" x14ac:dyDescent="0.3">
      <c r="B35" s="126"/>
      <c r="C35" s="97"/>
      <c r="D35" s="111"/>
      <c r="E35" s="111"/>
      <c r="F35" s="111"/>
      <c r="G35" s="134"/>
    </row>
    <row r="36" spans="2:16" s="4" customFormat="1" x14ac:dyDescent="0.3">
      <c r="B36" s="238"/>
      <c r="C36" s="233" t="s">
        <v>1365</v>
      </c>
      <c r="D36" s="114">
        <f>[4]Stowmarket!$E$35</f>
        <v>-3864</v>
      </c>
      <c r="E36" s="114"/>
      <c r="F36" s="114"/>
      <c r="G36" s="243"/>
    </row>
    <row r="37" spans="2:16" s="4" customFormat="1" x14ac:dyDescent="0.3">
      <c r="B37" s="127"/>
      <c r="C37" s="97"/>
      <c r="D37" s="111"/>
      <c r="E37" s="111"/>
      <c r="F37" s="111"/>
      <c r="G37" s="135"/>
    </row>
    <row r="38" spans="2:16" s="3" customFormat="1" ht="14.5" thickBot="1" x14ac:dyDescent="0.35">
      <c r="B38" s="124"/>
      <c r="C38" s="99" t="s">
        <v>619</v>
      </c>
      <c r="D38" s="110">
        <f>SUM(D36,D34,D30,D28,D23,D14)</f>
        <v>344223</v>
      </c>
      <c r="E38" s="110">
        <f>SUM(E36,E34,E30,E28,E23,E14)</f>
        <v>175452</v>
      </c>
      <c r="F38" s="110">
        <f t="shared" si="0"/>
        <v>168771</v>
      </c>
      <c r="G38" s="136">
        <f t="shared" si="1"/>
        <v>0.50970000000000004</v>
      </c>
    </row>
    <row r="39" spans="2:16" s="3" customFormat="1" x14ac:dyDescent="0.3">
      <c r="B39" s="129"/>
      <c r="C39" s="96"/>
      <c r="D39" s="113"/>
      <c r="E39" s="113"/>
      <c r="F39" s="113"/>
      <c r="G39" s="121"/>
    </row>
    <row r="40" spans="2:16" s="3" customFormat="1" ht="14.5" thickBot="1" x14ac:dyDescent="0.35">
      <c r="B40" s="171"/>
      <c r="C40" s="99" t="s">
        <v>1544</v>
      </c>
      <c r="D40" s="110">
        <f>D38+D31</f>
        <v>323273</v>
      </c>
      <c r="E40" s="110">
        <v>188792</v>
      </c>
      <c r="F40" s="110">
        <f>D40-E40</f>
        <v>134481</v>
      </c>
      <c r="G40" s="136">
        <f>E40/D40</f>
        <v>0.5840017570288889</v>
      </c>
    </row>
    <row r="41" spans="2:16" s="3" customFormat="1" x14ac:dyDescent="0.3">
      <c r="B41" s="184"/>
      <c r="C41" s="96"/>
      <c r="D41" s="113"/>
      <c r="E41" s="113"/>
      <c r="F41" s="113"/>
      <c r="G41" s="121"/>
    </row>
    <row r="42" spans="2:16" s="4" customFormat="1" ht="14.5" thickBot="1" x14ac:dyDescent="0.35">
      <c r="B42" s="147"/>
      <c r="C42" s="99" t="s">
        <v>1630</v>
      </c>
      <c r="D42" s="110">
        <f>[7]Stowmarket!$D$40</f>
        <v>306831</v>
      </c>
      <c r="E42" s="110">
        <v>156600</v>
      </c>
      <c r="F42" s="110">
        <v>150231</v>
      </c>
      <c r="G42" s="136">
        <f>E42/D42</f>
        <v>0.51037867751302834</v>
      </c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&amp;L&amp;D&amp;R&amp;Z&amp;F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8"/>
  <sheetViews>
    <sheetView topLeftCell="A38" zoomScaleNormal="100" workbookViewId="0">
      <selection activeCell="F53" sqref="F53"/>
    </sheetView>
  </sheetViews>
  <sheetFormatPr defaultRowHeight="14" x14ac:dyDescent="0.3"/>
  <cols>
    <col min="1" max="1" width="9" style="24"/>
    <col min="2" max="2" width="10.83203125" style="24" bestFit="1" customWidth="1"/>
    <col min="3" max="3" width="43.33203125" customWidth="1"/>
    <col min="4" max="6" width="12" bestFit="1" customWidth="1"/>
    <col min="7" max="7" width="12.5" style="8" bestFit="1" customWidth="1"/>
    <col min="8" max="10" width="9" hidden="1" customWidth="1"/>
    <col min="11" max="11" width="19.25" hidden="1" customWidth="1"/>
    <col min="12" max="12" width="9" hidden="1" customWidth="1"/>
    <col min="13" max="13" width="2.7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9.33203125" bestFit="1" customWidth="1"/>
  </cols>
  <sheetData>
    <row r="1" spans="2:16" s="24" customFormat="1" ht="14.5" thickBot="1" x14ac:dyDescent="0.35">
      <c r="B1" s="295"/>
      <c r="C1" s="295"/>
      <c r="D1" s="295"/>
      <c r="E1" s="295"/>
      <c r="F1" s="295"/>
      <c r="G1" s="296"/>
    </row>
    <row r="2" spans="2:16" s="2" customFormat="1" ht="23" thickBot="1" x14ac:dyDescent="0.5">
      <c r="B2" s="297"/>
      <c r="C2" s="298" t="str">
        <f>Summary!A1</f>
        <v>Parish Share 2020</v>
      </c>
      <c r="D2" s="299"/>
      <c r="E2" s="299"/>
      <c r="F2" s="299"/>
      <c r="G2" s="300"/>
      <c r="N2" s="2" t="s">
        <v>565</v>
      </c>
    </row>
    <row r="3" spans="2:16" ht="14.5" thickBot="1" x14ac:dyDescent="0.35">
      <c r="B3" s="287"/>
      <c r="C3" s="301"/>
      <c r="D3" s="301"/>
      <c r="E3" s="301"/>
      <c r="F3" s="301"/>
      <c r="G3" s="188"/>
      <c r="J3" s="13" t="s">
        <v>554</v>
      </c>
      <c r="K3" s="24" t="s">
        <v>555</v>
      </c>
      <c r="L3" s="13">
        <f>COUNTIF(H8:H57,"&gt;1")</f>
        <v>0</v>
      </c>
    </row>
    <row r="4" spans="2:16" s="3" customFormat="1" ht="18" thickBot="1" x14ac:dyDescent="0.4">
      <c r="B4" s="302"/>
      <c r="C4" s="303" t="s">
        <v>227</v>
      </c>
      <c r="D4" s="643">
        <f>Period</f>
        <v>44043</v>
      </c>
      <c r="E4" s="643"/>
      <c r="F4" s="304"/>
      <c r="G4" s="305"/>
      <c r="J4" s="13"/>
      <c r="K4" s="24" t="s">
        <v>553</v>
      </c>
      <c r="L4" s="13">
        <f>COUNTIF(H8:H57,1)</f>
        <v>0</v>
      </c>
    </row>
    <row r="5" spans="2:16" ht="14.5" thickBot="1" x14ac:dyDescent="0.35">
      <c r="B5" s="287"/>
      <c r="C5" s="301"/>
      <c r="D5" s="301"/>
      <c r="E5" s="301"/>
      <c r="F5" s="301"/>
      <c r="G5" s="188"/>
      <c r="J5" s="3"/>
      <c r="K5" s="24" t="s">
        <v>1551</v>
      </c>
      <c r="L5" s="13">
        <v>3</v>
      </c>
    </row>
    <row r="6" spans="2:16" s="3" customFormat="1" ht="14.5" thickBot="1" x14ac:dyDescent="0.35">
      <c r="B6" s="306" t="s">
        <v>603</v>
      </c>
      <c r="C6" s="307" t="s">
        <v>29</v>
      </c>
      <c r="D6" s="307" t="s">
        <v>1</v>
      </c>
      <c r="E6" s="307" t="s">
        <v>2</v>
      </c>
      <c r="F6" s="307" t="s">
        <v>3</v>
      </c>
      <c r="G6" s="308" t="s">
        <v>4</v>
      </c>
      <c r="H6" s="3" t="s">
        <v>562</v>
      </c>
      <c r="K6" s="24" t="s">
        <v>1552</v>
      </c>
      <c r="L6" s="13">
        <v>5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244"/>
      <c r="C7" s="240"/>
      <c r="D7" s="240"/>
      <c r="E7" s="240"/>
      <c r="F7" s="240"/>
      <c r="G7" s="246"/>
      <c r="J7" s="13"/>
      <c r="K7" s="24" t="s">
        <v>557</v>
      </c>
      <c r="L7" s="13">
        <v>0</v>
      </c>
    </row>
    <row r="8" spans="2:16" s="4" customFormat="1" x14ac:dyDescent="0.3">
      <c r="B8" s="238" t="s">
        <v>1046</v>
      </c>
      <c r="C8" s="233" t="s">
        <v>228</v>
      </c>
      <c r="D8" s="114">
        <f>[4]Sudbury!$E$8</f>
        <v>33780</v>
      </c>
      <c r="E8" s="114">
        <f>[5]Sudbury!D8</f>
        <v>10000</v>
      </c>
      <c r="F8" s="114">
        <f>D8-E8</f>
        <v>23780</v>
      </c>
      <c r="G8" s="243">
        <f t="shared" ref="G8:G9" si="0">ROUND((E8/D8),4)</f>
        <v>0.29599999999999999</v>
      </c>
      <c r="H8" s="14"/>
      <c r="J8" s="13"/>
      <c r="K8" s="13"/>
      <c r="L8" s="13">
        <f>SUM(L3:L7)</f>
        <v>8</v>
      </c>
      <c r="N8" s="4" t="s">
        <v>1381</v>
      </c>
      <c r="O8" s="4" t="s">
        <v>1378</v>
      </c>
      <c r="P8" s="4" t="s">
        <v>1379</v>
      </c>
    </row>
    <row r="9" spans="2:16" s="4" customFormat="1" x14ac:dyDescent="0.3">
      <c r="B9" s="238" t="s">
        <v>1047</v>
      </c>
      <c r="C9" s="233" t="s">
        <v>229</v>
      </c>
      <c r="D9" s="114">
        <f>[4]Sudbury!$E$9</f>
        <v>33780</v>
      </c>
      <c r="E9" s="114">
        <f>[5]Sudbury!D9</f>
        <v>3500</v>
      </c>
      <c r="F9" s="114">
        <f>D9-E9</f>
        <v>30280</v>
      </c>
      <c r="G9" s="243">
        <f t="shared" si="0"/>
        <v>0.1036</v>
      </c>
      <c r="H9" s="14"/>
      <c r="J9" s="13"/>
      <c r="N9" s="4" t="s">
        <v>1384</v>
      </c>
      <c r="O9" s="4" t="s">
        <v>1382</v>
      </c>
      <c r="P9" s="4" t="s">
        <v>1379</v>
      </c>
    </row>
    <row r="10" spans="2:16" s="4" customFormat="1" x14ac:dyDescent="0.3">
      <c r="B10" s="230"/>
      <c r="C10" s="181" t="s">
        <v>618</v>
      </c>
      <c r="D10" s="145">
        <f>[4]Sudbury!$E$47</f>
        <v>-21122</v>
      </c>
      <c r="E10" s="145"/>
      <c r="F10" s="114">
        <f>D10-E10</f>
        <v>-21122</v>
      </c>
      <c r="G10" s="228"/>
      <c r="H10" s="14"/>
      <c r="J10" s="24"/>
      <c r="K10" s="13"/>
      <c r="L10" s="13"/>
    </row>
    <row r="11" spans="2:16" s="3" customFormat="1" ht="14.5" thickBot="1" x14ac:dyDescent="0.35">
      <c r="B11" s="248" t="s">
        <v>1048</v>
      </c>
      <c r="C11" s="226" t="s">
        <v>230</v>
      </c>
      <c r="D11" s="109">
        <f>SUM(D8:D10)</f>
        <v>46438</v>
      </c>
      <c r="E11" s="109">
        <f>SUM(E8:E9)</f>
        <v>13500</v>
      </c>
      <c r="F11" s="109">
        <f>D11-E11</f>
        <v>32938</v>
      </c>
      <c r="G11" s="229">
        <f>ROUND((E11/D11),4)</f>
        <v>0.29070000000000001</v>
      </c>
      <c r="H11" s="14">
        <f t="shared" ref="H11" si="1">G11</f>
        <v>0.29070000000000001</v>
      </c>
      <c r="K11" s="13"/>
    </row>
    <row r="12" spans="2:16" s="4" customFormat="1" x14ac:dyDescent="0.3">
      <c r="B12" s="230"/>
      <c r="C12" s="247"/>
      <c r="D12" s="145"/>
      <c r="E12" s="145"/>
      <c r="F12" s="145"/>
      <c r="G12" s="241"/>
      <c r="H12" s="14"/>
    </row>
    <row r="13" spans="2:16" s="4" customFormat="1" x14ac:dyDescent="0.3">
      <c r="B13" s="238" t="s">
        <v>1049</v>
      </c>
      <c r="C13" s="233" t="s">
        <v>231</v>
      </c>
      <c r="D13" s="114">
        <f>[4]Sudbury!E12</f>
        <v>24000</v>
      </c>
      <c r="E13" s="114">
        <f>[5]Sudbury!D13</f>
        <v>8000</v>
      </c>
      <c r="F13" s="114">
        <f t="shared" ref="F13:F18" si="2">D13-E13</f>
        <v>16000</v>
      </c>
      <c r="G13" s="243">
        <f t="shared" ref="G13:G18" si="3">ROUND((E13/D13),4)</f>
        <v>0.33329999999999999</v>
      </c>
      <c r="H13" s="14"/>
      <c r="N13" s="4" t="s">
        <v>1377</v>
      </c>
      <c r="O13" s="4" t="s">
        <v>1378</v>
      </c>
      <c r="P13" s="4" t="s">
        <v>1380</v>
      </c>
    </row>
    <row r="14" spans="2:16" s="4" customFormat="1" x14ac:dyDescent="0.3">
      <c r="B14" s="238" t="s">
        <v>1050</v>
      </c>
      <c r="C14" s="233" t="s">
        <v>232</v>
      </c>
      <c r="D14" s="114">
        <f>[4]Sudbury!E13</f>
        <v>9000</v>
      </c>
      <c r="E14" s="114">
        <f>[5]Sudbury!D14</f>
        <v>5000</v>
      </c>
      <c r="F14" s="114">
        <f t="shared" si="2"/>
        <v>4000</v>
      </c>
      <c r="G14" s="243">
        <f t="shared" si="3"/>
        <v>0.55559999999999998</v>
      </c>
      <c r="H14" s="14"/>
      <c r="N14" s="4" t="s">
        <v>1377</v>
      </c>
      <c r="O14" s="4" t="s">
        <v>1378</v>
      </c>
    </row>
    <row r="15" spans="2:16" s="4" customFormat="1" x14ac:dyDescent="0.3">
      <c r="B15" s="238" t="s">
        <v>1051</v>
      </c>
      <c r="C15" s="233" t="s">
        <v>233</v>
      </c>
      <c r="D15" s="114">
        <f>[4]Sudbury!E14</f>
        <v>10000</v>
      </c>
      <c r="E15" s="114">
        <f>[5]Sudbury!D15</f>
        <v>4500</v>
      </c>
      <c r="F15" s="114">
        <f t="shared" si="2"/>
        <v>5500</v>
      </c>
      <c r="G15" s="243">
        <f t="shared" si="3"/>
        <v>0.45</v>
      </c>
      <c r="H15" s="14"/>
      <c r="N15" s="4" t="s">
        <v>1377</v>
      </c>
      <c r="O15" s="4" t="s">
        <v>1378</v>
      </c>
      <c r="P15" s="4" t="s">
        <v>1380</v>
      </c>
    </row>
    <row r="16" spans="2:16" s="4" customFormat="1" x14ac:dyDescent="0.3">
      <c r="B16" s="238" t="s">
        <v>1052</v>
      </c>
      <c r="C16" s="233" t="s">
        <v>234</v>
      </c>
      <c r="D16" s="114">
        <f>[4]Sudbury!E15</f>
        <v>7000</v>
      </c>
      <c r="E16" s="114">
        <f>[5]Sudbury!D16</f>
        <v>5000</v>
      </c>
      <c r="F16" s="114">
        <f t="shared" si="2"/>
        <v>2000</v>
      </c>
      <c r="G16" s="243">
        <f t="shared" si="3"/>
        <v>0.71430000000000005</v>
      </c>
      <c r="H16" s="14"/>
      <c r="N16" s="4" t="s">
        <v>1377</v>
      </c>
      <c r="O16" s="4" t="s">
        <v>1378</v>
      </c>
    </row>
    <row r="17" spans="2:16" s="4" customFormat="1" x14ac:dyDescent="0.3">
      <c r="B17" s="238" t="s">
        <v>1053</v>
      </c>
      <c r="C17" s="233" t="s">
        <v>235</v>
      </c>
      <c r="D17" s="114">
        <f>[4]Sudbury!E16</f>
        <v>10000</v>
      </c>
      <c r="E17" s="114">
        <f>[5]Sudbury!D17</f>
        <v>3500</v>
      </c>
      <c r="F17" s="114">
        <f t="shared" si="2"/>
        <v>6500</v>
      </c>
      <c r="G17" s="243">
        <f t="shared" si="3"/>
        <v>0.35</v>
      </c>
      <c r="H17" s="14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0"/>
      <c r="C18" s="247" t="s">
        <v>1390</v>
      </c>
      <c r="D18" s="114">
        <f>[4]Sudbury!E17</f>
        <v>9599</v>
      </c>
      <c r="E18" s="114">
        <f>[5]Sudbury!D18</f>
        <v>0</v>
      </c>
      <c r="F18" s="145">
        <f t="shared" si="2"/>
        <v>9599</v>
      </c>
      <c r="G18" s="188">
        <f t="shared" si="3"/>
        <v>0</v>
      </c>
      <c r="H18" s="14"/>
    </row>
    <row r="19" spans="2:16" s="11" customFormat="1" ht="14.5" thickBot="1" x14ac:dyDescent="0.35">
      <c r="B19" s="248" t="s">
        <v>1054</v>
      </c>
      <c r="C19" s="249" t="s">
        <v>1391</v>
      </c>
      <c r="D19" s="250">
        <f>SUM(D13:D18)</f>
        <v>69599</v>
      </c>
      <c r="E19" s="250">
        <f>SUM(E13:E18)</f>
        <v>26000</v>
      </c>
      <c r="F19" s="250">
        <f>D19-E19</f>
        <v>43599</v>
      </c>
      <c r="G19" s="229">
        <f t="shared" ref="G19:G45" si="4">ROUND((E19/D19),4)</f>
        <v>0.37359999999999999</v>
      </c>
      <c r="H19" s="17">
        <f>G19</f>
        <v>0.37359999999999999</v>
      </c>
    </row>
    <row r="20" spans="2:16" s="4" customFormat="1" x14ac:dyDescent="0.3">
      <c r="B20" s="244"/>
      <c r="C20" s="240"/>
      <c r="D20" s="245"/>
      <c r="E20" s="245"/>
      <c r="F20" s="245"/>
      <c r="G20" s="246"/>
      <c r="H20" s="14"/>
    </row>
    <row r="21" spans="2:16" s="4" customFormat="1" x14ac:dyDescent="0.3">
      <c r="B21" s="238" t="s">
        <v>1055</v>
      </c>
      <c r="C21" s="233" t="s">
        <v>236</v>
      </c>
      <c r="D21" s="114">
        <f>[4]Sudbury!E20</f>
        <v>8300</v>
      </c>
      <c r="E21" s="114">
        <f>[5]Sudbury!D21</f>
        <v>5810</v>
      </c>
      <c r="F21" s="114">
        <f>D21-E21</f>
        <v>2490</v>
      </c>
      <c r="G21" s="607">
        <f t="shared" si="4"/>
        <v>0.7</v>
      </c>
      <c r="H21" s="14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8" t="s">
        <v>1056</v>
      </c>
      <c r="C22" s="233" t="s">
        <v>237</v>
      </c>
      <c r="D22" s="114">
        <f>[4]Sudbury!E21</f>
        <v>56588</v>
      </c>
      <c r="E22" s="114">
        <f>[5]Sudbury!D22</f>
        <v>36000</v>
      </c>
      <c r="F22" s="114">
        <f>D22-E22</f>
        <v>20588</v>
      </c>
      <c r="G22" s="243">
        <f t="shared" si="4"/>
        <v>0.63619999999999999</v>
      </c>
      <c r="H22" s="14"/>
      <c r="N22" s="4" t="s">
        <v>1384</v>
      </c>
      <c r="O22" s="4" t="s">
        <v>1382</v>
      </c>
      <c r="P22" s="4" t="s">
        <v>1379</v>
      </c>
    </row>
    <row r="23" spans="2:16" s="4" customFormat="1" x14ac:dyDescent="0.3">
      <c r="B23" s="230" t="s">
        <v>1057</v>
      </c>
      <c r="C23" s="247" t="s">
        <v>238</v>
      </c>
      <c r="D23" s="114">
        <f>[4]Sudbury!E22</f>
        <v>10563</v>
      </c>
      <c r="E23" s="114">
        <f>[5]Sudbury!D23</f>
        <v>7392.6</v>
      </c>
      <c r="F23" s="145">
        <f>D23-E23</f>
        <v>3170.3999999999996</v>
      </c>
      <c r="G23" s="243">
        <f t="shared" si="4"/>
        <v>0.69989999999999997</v>
      </c>
      <c r="H23" s="14"/>
      <c r="N23" s="4" t="s">
        <v>1381</v>
      </c>
      <c r="O23" s="4" t="s">
        <v>1382</v>
      </c>
      <c r="P23" s="4" t="s">
        <v>1379</v>
      </c>
    </row>
    <row r="24" spans="2:16" s="3" customFormat="1" ht="14.5" thickBot="1" x14ac:dyDescent="0.35">
      <c r="B24" s="222" t="s">
        <v>1058</v>
      </c>
      <c r="C24" s="226" t="s">
        <v>239</v>
      </c>
      <c r="D24" s="109">
        <f>SUM(D21:D23)</f>
        <v>75451</v>
      </c>
      <c r="E24" s="109">
        <f>SUM(E21:E23)</f>
        <v>49202.6</v>
      </c>
      <c r="F24" s="109">
        <f>D24-E24</f>
        <v>26248.400000000001</v>
      </c>
      <c r="G24" s="229">
        <f t="shared" si="4"/>
        <v>0.65210000000000001</v>
      </c>
      <c r="H24" s="221">
        <f>G24</f>
        <v>0.65210000000000001</v>
      </c>
    </row>
    <row r="25" spans="2:16" s="4" customFormat="1" x14ac:dyDescent="0.3">
      <c r="B25" s="244"/>
      <c r="C25" s="240"/>
      <c r="D25" s="245"/>
      <c r="E25" s="245"/>
      <c r="F25" s="245"/>
      <c r="G25" s="246"/>
      <c r="H25" s="14"/>
    </row>
    <row r="26" spans="2:16" s="4" customFormat="1" x14ac:dyDescent="0.3">
      <c r="B26" s="238" t="s">
        <v>1059</v>
      </c>
      <c r="C26" s="233" t="s">
        <v>240</v>
      </c>
      <c r="D26" s="114">
        <f>[4]Sudbury!E25</f>
        <v>31502</v>
      </c>
      <c r="E26" s="114">
        <f>[5]Sudbury!D26</f>
        <v>5000</v>
      </c>
      <c r="F26" s="114">
        <f t="shared" ref="F26:F29" si="5">D26-E26</f>
        <v>26502</v>
      </c>
      <c r="G26" s="188">
        <f t="shared" ref="G26:G31" si="6">ROUND((E26/D26),4)</f>
        <v>0.15870000000000001</v>
      </c>
      <c r="H26" s="14"/>
      <c r="N26" s="4" t="s">
        <v>1381</v>
      </c>
      <c r="O26" s="4" t="s">
        <v>1382</v>
      </c>
      <c r="P26" s="4" t="s">
        <v>1379</v>
      </c>
    </row>
    <row r="27" spans="2:16" s="4" customFormat="1" x14ac:dyDescent="0.3">
      <c r="B27" s="238" t="s">
        <v>1060</v>
      </c>
      <c r="C27" s="233" t="s">
        <v>241</v>
      </c>
      <c r="D27" s="114">
        <f>[4]Sudbury!E26</f>
        <v>16290</v>
      </c>
      <c r="E27" s="114">
        <f>[5]Sudbury!D27</f>
        <v>0</v>
      </c>
      <c r="F27" s="114">
        <f t="shared" si="5"/>
        <v>16290</v>
      </c>
      <c r="G27" s="188">
        <f t="shared" si="6"/>
        <v>0</v>
      </c>
      <c r="H27" s="14"/>
      <c r="N27" s="4" t="s">
        <v>1377</v>
      </c>
      <c r="O27" s="4" t="s">
        <v>1378</v>
      </c>
    </row>
    <row r="28" spans="2:16" s="4" customFormat="1" x14ac:dyDescent="0.3">
      <c r="B28" s="238" t="s">
        <v>1061</v>
      </c>
      <c r="C28" s="233" t="s">
        <v>242</v>
      </c>
      <c r="D28" s="114">
        <f>[4]Sudbury!E27</f>
        <v>4011</v>
      </c>
      <c r="E28" s="114">
        <f>[5]Sudbury!D28</f>
        <v>0</v>
      </c>
      <c r="F28" s="114">
        <f t="shared" si="5"/>
        <v>4011</v>
      </c>
      <c r="G28" s="188">
        <f t="shared" si="6"/>
        <v>0</v>
      </c>
      <c r="H28" s="14"/>
      <c r="N28" s="4" t="s">
        <v>1377</v>
      </c>
      <c r="O28" s="4" t="s">
        <v>1378</v>
      </c>
    </row>
    <row r="29" spans="2:16" s="4" customFormat="1" x14ac:dyDescent="0.3">
      <c r="B29" s="238" t="s">
        <v>1062</v>
      </c>
      <c r="C29" s="233" t="s">
        <v>243</v>
      </c>
      <c r="D29" s="114">
        <f>[4]Sudbury!E28</f>
        <v>6998</v>
      </c>
      <c r="E29" s="114">
        <f>[5]Sudbury!D29</f>
        <v>0</v>
      </c>
      <c r="F29" s="114">
        <f t="shared" si="5"/>
        <v>6998</v>
      </c>
      <c r="G29" s="188">
        <f t="shared" si="6"/>
        <v>0</v>
      </c>
      <c r="H29" s="14"/>
      <c r="N29" s="4" t="s">
        <v>1377</v>
      </c>
      <c r="O29" s="4" t="s">
        <v>1378</v>
      </c>
    </row>
    <row r="30" spans="2:16" s="4" customFormat="1" x14ac:dyDescent="0.3">
      <c r="B30" s="238"/>
      <c r="C30" s="181" t="s">
        <v>618</v>
      </c>
      <c r="D30" s="114">
        <f>[4]Sudbury!$E$48</f>
        <v>-16081</v>
      </c>
      <c r="E30" s="114"/>
      <c r="F30" s="114">
        <f>D30</f>
        <v>-16081</v>
      </c>
      <c r="G30" s="188"/>
      <c r="H30" s="14"/>
    </row>
    <row r="31" spans="2:16" s="3" customFormat="1" ht="14.5" thickBot="1" x14ac:dyDescent="0.35">
      <c r="B31" s="222" t="s">
        <v>1063</v>
      </c>
      <c r="C31" s="226" t="s">
        <v>244</v>
      </c>
      <c r="D31" s="109">
        <f>SUM(D26:D30)</f>
        <v>42720</v>
      </c>
      <c r="E31" s="109">
        <f>SUM(E26:E29)</f>
        <v>5000</v>
      </c>
      <c r="F31" s="109">
        <f>D31-E31</f>
        <v>37720</v>
      </c>
      <c r="G31" s="229">
        <f t="shared" si="6"/>
        <v>0.11700000000000001</v>
      </c>
      <c r="H31" s="17">
        <f>G31</f>
        <v>0.11700000000000001</v>
      </c>
    </row>
    <row r="32" spans="2:16" s="4" customFormat="1" x14ac:dyDescent="0.3">
      <c r="B32" s="244"/>
      <c r="C32" s="240"/>
      <c r="D32" s="245"/>
      <c r="E32" s="245"/>
      <c r="F32" s="245"/>
      <c r="G32" s="246"/>
      <c r="H32" s="14"/>
    </row>
    <row r="33" spans="2:18" s="3" customFormat="1" x14ac:dyDescent="0.3">
      <c r="B33" s="238" t="s">
        <v>1064</v>
      </c>
      <c r="C33" s="233" t="s">
        <v>245</v>
      </c>
      <c r="D33" s="114">
        <f>[4]Sudbury!$E$31</f>
        <v>49943</v>
      </c>
      <c r="E33" s="114">
        <f>[5]Sudbury!$D$32</f>
        <v>10000</v>
      </c>
      <c r="F33" s="114">
        <f>D33-E33</f>
        <v>39943</v>
      </c>
      <c r="G33" s="251">
        <f t="shared" si="4"/>
        <v>0.20019999999999999</v>
      </c>
      <c r="H33" s="14"/>
      <c r="N33" s="4" t="s">
        <v>1381</v>
      </c>
      <c r="O33" s="4" t="s">
        <v>1378</v>
      </c>
      <c r="P33" s="4"/>
    </row>
    <row r="34" spans="2:18" s="3" customFormat="1" x14ac:dyDescent="0.3">
      <c r="B34" s="230"/>
      <c r="C34" s="181" t="s">
        <v>618</v>
      </c>
      <c r="D34" s="145">
        <f>[4]Sudbury!$E$46</f>
        <v>-18698</v>
      </c>
      <c r="E34" s="145"/>
      <c r="F34" s="145">
        <f>D34</f>
        <v>-18698</v>
      </c>
      <c r="G34" s="251"/>
      <c r="H34" s="14"/>
      <c r="N34" s="4"/>
      <c r="O34" s="4"/>
      <c r="P34" s="4"/>
    </row>
    <row r="35" spans="2:18" s="3" customFormat="1" ht="14.5" thickBot="1" x14ac:dyDescent="0.35">
      <c r="B35" s="252"/>
      <c r="C35" s="253" t="s">
        <v>245</v>
      </c>
      <c r="D35" s="254">
        <f>D33+D34</f>
        <v>31245</v>
      </c>
      <c r="E35" s="254">
        <f>E33+E34</f>
        <v>10000</v>
      </c>
      <c r="F35" s="254">
        <f t="shared" ref="F35" si="7">D35-E35</f>
        <v>21245</v>
      </c>
      <c r="G35" s="229">
        <f t="shared" si="4"/>
        <v>0.3201</v>
      </c>
      <c r="H35" s="17">
        <f>G35</f>
        <v>0.3201</v>
      </c>
      <c r="N35" s="4"/>
      <c r="O35" s="4"/>
      <c r="P35" s="4"/>
    </row>
    <row r="36" spans="2:18" s="4" customFormat="1" x14ac:dyDescent="0.3">
      <c r="B36" s="230"/>
      <c r="C36" s="240"/>
      <c r="D36" s="114"/>
      <c r="E36" s="114"/>
      <c r="F36" s="114"/>
      <c r="G36" s="241"/>
      <c r="H36" s="14"/>
    </row>
    <row r="37" spans="2:18" s="3" customFormat="1" x14ac:dyDescent="0.3">
      <c r="B37" s="238" t="s">
        <v>1065</v>
      </c>
      <c r="C37" s="233" t="s">
        <v>246</v>
      </c>
      <c r="D37" s="604">
        <f>[4]Sudbury!$E$34</f>
        <v>36813</v>
      </c>
      <c r="E37" s="604">
        <f>[5]Sudbury!$D$36</f>
        <v>10500</v>
      </c>
      <c r="F37" s="604">
        <f>D37-E37</f>
        <v>26313</v>
      </c>
      <c r="G37" s="251">
        <f t="shared" si="4"/>
        <v>0.28520000000000001</v>
      </c>
      <c r="H37" s="14"/>
      <c r="N37" s="4" t="s">
        <v>1377</v>
      </c>
      <c r="O37" s="4" t="s">
        <v>1378</v>
      </c>
      <c r="P37" s="4"/>
    </row>
    <row r="38" spans="2:18" s="3" customFormat="1" x14ac:dyDescent="0.3">
      <c r="B38" s="255"/>
      <c r="C38" s="172" t="s">
        <v>618</v>
      </c>
      <c r="D38" s="145">
        <f>[4]Sudbury!$E$49</f>
        <v>-2119</v>
      </c>
      <c r="E38" s="256"/>
      <c r="F38" s="145">
        <f>D38</f>
        <v>-2119</v>
      </c>
      <c r="G38" s="257"/>
      <c r="H38" s="14"/>
      <c r="N38" s="4"/>
      <c r="O38" s="4"/>
      <c r="P38" s="4"/>
    </row>
    <row r="39" spans="2:18" s="3" customFormat="1" ht="14.5" thickBot="1" x14ac:dyDescent="0.35">
      <c r="B39" s="222"/>
      <c r="C39" s="226" t="s">
        <v>246</v>
      </c>
      <c r="D39" s="109">
        <f>D37+D38</f>
        <v>34694</v>
      </c>
      <c r="E39" s="109">
        <f t="shared" ref="E39:F39" si="8">E37+E38</f>
        <v>10500</v>
      </c>
      <c r="F39" s="109">
        <f t="shared" si="8"/>
        <v>24194</v>
      </c>
      <c r="G39" s="229">
        <f t="shared" si="4"/>
        <v>0.30259999999999998</v>
      </c>
      <c r="H39" s="14">
        <f t="shared" ref="H39:H45" si="9">G39</f>
        <v>0.30259999999999998</v>
      </c>
      <c r="N39" s="4"/>
      <c r="O39" s="4"/>
      <c r="P39" s="4"/>
    </row>
    <row r="40" spans="2:18" s="4" customFormat="1" x14ac:dyDescent="0.3">
      <c r="B40" s="230"/>
      <c r="C40" s="240"/>
      <c r="D40" s="245"/>
      <c r="E40" s="245"/>
      <c r="F40" s="245"/>
      <c r="G40" s="241"/>
      <c r="H40" s="14"/>
    </row>
    <row r="41" spans="2:18" s="3" customFormat="1" x14ac:dyDescent="0.3">
      <c r="B41" s="255" t="s">
        <v>1066</v>
      </c>
      <c r="C41" s="281" t="s">
        <v>247</v>
      </c>
      <c r="D41" s="256">
        <f>[4]Sudbury!$E$36</f>
        <v>47857</v>
      </c>
      <c r="E41" s="256">
        <f>[5]Sudbury!$D$40</f>
        <v>27916</v>
      </c>
      <c r="F41" s="256">
        <f>D41-E41</f>
        <v>19941</v>
      </c>
      <c r="G41" s="601">
        <f t="shared" si="4"/>
        <v>0.58330000000000004</v>
      </c>
      <c r="H41" s="220">
        <f t="shared" si="9"/>
        <v>0.58330000000000004</v>
      </c>
      <c r="N41" s="4" t="s">
        <v>1377</v>
      </c>
      <c r="O41" s="4" t="s">
        <v>1378</v>
      </c>
      <c r="P41" s="4" t="s">
        <v>1379</v>
      </c>
    </row>
    <row r="42" spans="2:18" s="4" customFormat="1" x14ac:dyDescent="0.3">
      <c r="B42" s="230"/>
      <c r="C42" s="247"/>
      <c r="D42" s="145"/>
      <c r="E42" s="145"/>
      <c r="F42" s="145"/>
      <c r="G42" s="241"/>
      <c r="H42" s="14"/>
    </row>
    <row r="43" spans="2:18" s="4" customFormat="1" x14ac:dyDescent="0.3">
      <c r="B43" s="238" t="s">
        <v>1067</v>
      </c>
      <c r="C43" s="233" t="s">
        <v>248</v>
      </c>
      <c r="D43" s="114">
        <f>[4]Sudbury!$E$38</f>
        <v>11478</v>
      </c>
      <c r="E43" s="114">
        <f>[5]Sudbury!$D$42</f>
        <v>6698</v>
      </c>
      <c r="F43" s="114">
        <f>D43-E43</f>
        <v>4780</v>
      </c>
      <c r="G43" s="243">
        <f t="shared" si="4"/>
        <v>0.58360000000000001</v>
      </c>
      <c r="H43" s="14"/>
      <c r="N43" s="4" t="s">
        <v>1381</v>
      </c>
      <c r="O43" s="4" t="s">
        <v>1382</v>
      </c>
      <c r="P43" s="4" t="s">
        <v>1379</v>
      </c>
      <c r="R43" s="353"/>
    </row>
    <row r="44" spans="2:18" s="4" customFormat="1" x14ac:dyDescent="0.3">
      <c r="B44" s="238" t="s">
        <v>1068</v>
      </c>
      <c r="C44" s="233" t="s">
        <v>249</v>
      </c>
      <c r="D44" s="114">
        <f>[4]Sudbury!$E$39</f>
        <v>58512</v>
      </c>
      <c r="E44" s="114">
        <f>[5]Sudbury!$D$43</f>
        <v>34132</v>
      </c>
      <c r="F44" s="114">
        <f>D44-E44</f>
        <v>24380</v>
      </c>
      <c r="G44" s="243">
        <f t="shared" si="4"/>
        <v>0.58330000000000004</v>
      </c>
      <c r="H44" s="14"/>
      <c r="N44" s="4" t="s">
        <v>1381</v>
      </c>
      <c r="O44" s="4" t="s">
        <v>1382</v>
      </c>
      <c r="P44" s="4" t="s">
        <v>1379</v>
      </c>
      <c r="R44" s="353"/>
    </row>
    <row r="45" spans="2:18" s="3" customFormat="1" ht="14.5" thickBot="1" x14ac:dyDescent="0.35">
      <c r="B45" s="124" t="s">
        <v>1069</v>
      </c>
      <c r="C45" s="99" t="s">
        <v>250</v>
      </c>
      <c r="D45" s="109">
        <f>SUM(D43:D44)</f>
        <v>69990</v>
      </c>
      <c r="E45" s="110">
        <f>SUM(E43:E44)</f>
        <v>40830</v>
      </c>
      <c r="F45" s="110">
        <f>D45-E45</f>
        <v>29160</v>
      </c>
      <c r="G45" s="137">
        <f t="shared" si="4"/>
        <v>0.58340000000000003</v>
      </c>
      <c r="H45" s="220">
        <f t="shared" si="9"/>
        <v>0.58340000000000003</v>
      </c>
    </row>
    <row r="46" spans="2:18" s="4" customFormat="1" x14ac:dyDescent="0.3">
      <c r="B46" s="126"/>
      <c r="C46" s="97"/>
      <c r="D46" s="111"/>
      <c r="E46" s="111"/>
      <c r="F46" s="111"/>
      <c r="G46" s="134"/>
    </row>
    <row r="47" spans="2:18" s="4" customFormat="1" ht="14.5" thickBot="1" x14ac:dyDescent="0.35">
      <c r="B47" s="182"/>
      <c r="C47" s="99" t="s">
        <v>619</v>
      </c>
      <c r="D47" s="110">
        <f>SUM(D8,D9,D19,D24,D31,D33,D37,D41,D45)-D30</f>
        <v>476014</v>
      </c>
      <c r="E47" s="110">
        <f>SUM(E11,E19,E24,E31,E33,E37,E41,E45)</f>
        <v>182948.6</v>
      </c>
      <c r="F47" s="110">
        <f>D47-E47</f>
        <v>293065.40000000002</v>
      </c>
      <c r="G47" s="136">
        <f>E47/D47</f>
        <v>0.38433449436361117</v>
      </c>
    </row>
    <row r="48" spans="2:18" s="4" customFormat="1" x14ac:dyDescent="0.3">
      <c r="B48" s="126"/>
      <c r="C48" s="96"/>
      <c r="D48" s="113"/>
      <c r="E48" s="113"/>
      <c r="F48" s="113"/>
      <c r="G48" s="121"/>
    </row>
    <row r="49" spans="2:7" s="4" customFormat="1" x14ac:dyDescent="0.3">
      <c r="B49" s="127"/>
      <c r="C49" s="96"/>
      <c r="D49" s="113"/>
      <c r="E49" s="113"/>
      <c r="F49" s="113"/>
      <c r="G49" s="177"/>
    </row>
    <row r="50" spans="2:7" s="4" customFormat="1" ht="14.5" thickBot="1" x14ac:dyDescent="0.35">
      <c r="B50" s="182"/>
      <c r="C50" s="99" t="s">
        <v>1544</v>
      </c>
      <c r="D50" s="110">
        <f>D47+D38+D10+D34+D30</f>
        <v>417994</v>
      </c>
      <c r="E50" s="110">
        <f>E47+E38+E10+E34</f>
        <v>182948.6</v>
      </c>
      <c r="F50" s="110">
        <f>F47+F38+F10+F34+F30</f>
        <v>235045.40000000002</v>
      </c>
      <c r="G50" s="136">
        <f>E50/D50</f>
        <v>0.43768235907692454</v>
      </c>
    </row>
    <row r="51" spans="2:7" s="4" customFormat="1" x14ac:dyDescent="0.3">
      <c r="B51" s="127"/>
      <c r="C51" s="96"/>
      <c r="D51" s="113"/>
      <c r="E51" s="113"/>
      <c r="F51" s="113"/>
      <c r="G51" s="177"/>
    </row>
    <row r="52" spans="2:7" s="4" customFormat="1" ht="14.5" thickBot="1" x14ac:dyDescent="0.35">
      <c r="B52" s="147"/>
      <c r="C52" s="99" t="s">
        <v>1630</v>
      </c>
      <c r="D52" s="110">
        <f>[7]Sudbury!$D$49</f>
        <v>430599</v>
      </c>
      <c r="E52" s="110">
        <v>220719</v>
      </c>
      <c r="F52" s="110">
        <f>D52-E52</f>
        <v>209880</v>
      </c>
      <c r="G52" s="136">
        <f>E52/D52</f>
        <v>0.51258595584290723</v>
      </c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ht="12.75" customHeigh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  <row r="64" spans="2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4"/>
  <sheetViews>
    <sheetView topLeftCell="A3" zoomScaleNormal="100" workbookViewId="0">
      <selection activeCell="C3" sqref="C3"/>
    </sheetView>
  </sheetViews>
  <sheetFormatPr defaultRowHeight="14" x14ac:dyDescent="0.3"/>
  <cols>
    <col min="1" max="1" width="9" style="24"/>
    <col min="2" max="2" width="10.83203125" style="24" bestFit="1" customWidth="1"/>
    <col min="3" max="3" width="50.83203125" bestFit="1" customWidth="1"/>
    <col min="4" max="6" width="12" bestFit="1" customWidth="1"/>
    <col min="7" max="7" width="12" style="8" customWidth="1"/>
    <col min="8" max="16" width="10.25" hidden="1" customWidth="1"/>
    <col min="17" max="17" width="10.25" customWidth="1"/>
    <col min="18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COUNTIF(H8:H53,"&gt;1")</f>
        <v>0</v>
      </c>
    </row>
    <row r="4" spans="2:16" s="3" customFormat="1" ht="23" thickBot="1" x14ac:dyDescent="0.5">
      <c r="B4" s="120"/>
      <c r="C4" s="101" t="s">
        <v>252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COUNTIF(H8:H53,1)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COUNTIFS(H8:H53,"&gt;="&amp;Target,H8:H53,"&lt;"&amp;1)</f>
        <v>3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8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3" customFormat="1" ht="14.5" thickBot="1" x14ac:dyDescent="0.35">
      <c r="B8" s="222" t="s">
        <v>1070</v>
      </c>
      <c r="C8" s="226" t="s">
        <v>253</v>
      </c>
      <c r="D8" s="109">
        <f>[4]Thingoe!$E$8</f>
        <v>50000</v>
      </c>
      <c r="E8" s="109">
        <f>[5]Thingoe!$D$8</f>
        <v>15583</v>
      </c>
      <c r="F8" s="109">
        <f>D8-E8</f>
        <v>34417</v>
      </c>
      <c r="G8" s="229">
        <f>ROUND((E8/D8),4)</f>
        <v>0.31169999999999998</v>
      </c>
      <c r="H8" s="14">
        <f>G8</f>
        <v>0.31169999999999998</v>
      </c>
      <c r="J8" s="13"/>
      <c r="K8" s="13"/>
      <c r="L8" s="13">
        <f>SUM(L3:L7)</f>
        <v>6</v>
      </c>
      <c r="N8" s="4" t="s">
        <v>1381</v>
      </c>
      <c r="O8" s="4" t="s">
        <v>1378</v>
      </c>
      <c r="P8" s="4" t="s">
        <v>1379</v>
      </c>
    </row>
    <row r="9" spans="2:16" s="4" customFormat="1" x14ac:dyDescent="0.3">
      <c r="B9" s="244"/>
      <c r="C9" s="240"/>
      <c r="D9" s="245"/>
      <c r="E9" s="245"/>
      <c r="F9" s="245"/>
      <c r="G9" s="241"/>
      <c r="H9" s="14"/>
      <c r="J9" s="13"/>
    </row>
    <row r="10" spans="2:16" s="3" customFormat="1" ht="14.5" thickBot="1" x14ac:dyDescent="0.35">
      <c r="B10" s="255" t="s">
        <v>1071</v>
      </c>
      <c r="C10" s="281" t="s">
        <v>254</v>
      </c>
      <c r="D10" s="256">
        <f>[4]Thingoe!$E$10</f>
        <v>153744</v>
      </c>
      <c r="E10" s="256">
        <f>[5]Thingoe!$D$10</f>
        <v>107618.8</v>
      </c>
      <c r="F10" s="256">
        <f t="shared" ref="F10:F47" si="0">D10-E10</f>
        <v>46125.2</v>
      </c>
      <c r="G10" s="305">
        <f>ROUND((E10/D10),4)</f>
        <v>0.7</v>
      </c>
      <c r="H10" s="14">
        <f t="shared" ref="H10:H40" si="1">G10</f>
        <v>0.7</v>
      </c>
      <c r="K10" s="13"/>
      <c r="L10" s="13"/>
      <c r="N10" s="4" t="s">
        <v>1381</v>
      </c>
      <c r="O10" s="4" t="s">
        <v>1382</v>
      </c>
      <c r="P10" s="4" t="s">
        <v>1379</v>
      </c>
    </row>
    <row r="11" spans="2:16" s="4" customFormat="1" x14ac:dyDescent="0.3">
      <c r="B11" s="244"/>
      <c r="C11" s="240"/>
      <c r="D11" s="245"/>
      <c r="E11" s="245"/>
      <c r="F11" s="245"/>
      <c r="G11" s="246"/>
      <c r="H11" s="14"/>
      <c r="K11" s="13"/>
    </row>
    <row r="12" spans="2:16" s="4" customFormat="1" x14ac:dyDescent="0.3">
      <c r="B12" s="238" t="s">
        <v>1072</v>
      </c>
      <c r="C12" s="233" t="s">
        <v>255</v>
      </c>
      <c r="D12" s="114">
        <f>[4]Thingoe!$E$12</f>
        <v>37776</v>
      </c>
      <c r="E12" s="114">
        <f>[5]Thingoe!D12</f>
        <v>18888</v>
      </c>
      <c r="F12" s="114">
        <f t="shared" ref="F12:F13" si="2">D12-E12</f>
        <v>18888</v>
      </c>
      <c r="G12" s="243">
        <f t="shared" ref="G12:G13" si="3">ROUND((E12/D12),4)</f>
        <v>0.5</v>
      </c>
      <c r="H12" s="14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1073</v>
      </c>
      <c r="C13" s="233" t="s">
        <v>256</v>
      </c>
      <c r="D13" s="114">
        <f>[4]Thingoe!$E$13</f>
        <v>37776</v>
      </c>
      <c r="E13" s="114">
        <f>[5]Thingoe!D13</f>
        <v>11000</v>
      </c>
      <c r="F13" s="114">
        <f t="shared" si="2"/>
        <v>26776</v>
      </c>
      <c r="G13" s="243">
        <f t="shared" si="3"/>
        <v>0.29120000000000001</v>
      </c>
      <c r="H13" s="14"/>
      <c r="N13" s="4" t="s">
        <v>1377</v>
      </c>
      <c r="O13" s="4" t="s">
        <v>1378</v>
      </c>
      <c r="P13" s="4" t="s">
        <v>1379</v>
      </c>
    </row>
    <row r="14" spans="2:16" s="3" customFormat="1" ht="14.5" thickBot="1" x14ac:dyDescent="0.35">
      <c r="B14" s="222" t="s">
        <v>1074</v>
      </c>
      <c r="C14" s="226" t="s">
        <v>257</v>
      </c>
      <c r="D14" s="109">
        <f>SUM(D12:D13)</f>
        <v>75552</v>
      </c>
      <c r="E14" s="109">
        <f>SUM(E12:E13)</f>
        <v>29888</v>
      </c>
      <c r="F14" s="109">
        <f t="shared" si="0"/>
        <v>45664</v>
      </c>
      <c r="G14" s="229">
        <f>ROUND((E14/D14),4)</f>
        <v>0.39560000000000001</v>
      </c>
      <c r="H14" s="14">
        <f t="shared" si="1"/>
        <v>0.39560000000000001</v>
      </c>
    </row>
    <row r="15" spans="2:16" s="4" customFormat="1" x14ac:dyDescent="0.3">
      <c r="B15" s="244"/>
      <c r="C15" s="240"/>
      <c r="D15" s="245"/>
      <c r="E15" s="245"/>
      <c r="F15" s="245"/>
      <c r="G15" s="246"/>
      <c r="H15" s="14"/>
    </row>
    <row r="16" spans="2:16" s="4" customFormat="1" x14ac:dyDescent="0.3">
      <c r="B16" s="238" t="s">
        <v>1075</v>
      </c>
      <c r="C16" s="233" t="s">
        <v>258</v>
      </c>
      <c r="D16" s="114">
        <f>[4]Thingoe!$E$16</f>
        <v>10518</v>
      </c>
      <c r="E16" s="114">
        <f>[5]Thingoe!D16</f>
        <v>5000</v>
      </c>
      <c r="F16" s="114">
        <f t="shared" si="0"/>
        <v>5518</v>
      </c>
      <c r="G16" s="243">
        <f>ROUND((E16/D16),4)</f>
        <v>0.47539999999999999</v>
      </c>
      <c r="H16" s="14"/>
      <c r="N16" s="4" t="s">
        <v>1377</v>
      </c>
      <c r="O16" s="4" t="s">
        <v>1378</v>
      </c>
    </row>
    <row r="17" spans="2:16" s="4" customFormat="1" x14ac:dyDescent="0.3">
      <c r="B17" s="238" t="s">
        <v>1076</v>
      </c>
      <c r="C17" s="233" t="s">
        <v>259</v>
      </c>
      <c r="D17" s="114">
        <f>[4]Thingoe!$E$17</f>
        <v>30708</v>
      </c>
      <c r="E17" s="114">
        <f>[5]Thingoe!D17</f>
        <v>17913</v>
      </c>
      <c r="F17" s="114">
        <f t="shared" si="0"/>
        <v>12795</v>
      </c>
      <c r="G17" s="243">
        <f>ROUND((E17/D17),4)</f>
        <v>0.58330000000000004</v>
      </c>
      <c r="H17" s="14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1077</v>
      </c>
      <c r="C18" s="233" t="s">
        <v>260</v>
      </c>
      <c r="D18" s="114">
        <f>[4]Thingoe!$E$18</f>
        <v>6502</v>
      </c>
      <c r="E18" s="114">
        <f>[5]Thingoe!D18</f>
        <v>3901.6</v>
      </c>
      <c r="F18" s="114">
        <f t="shared" si="0"/>
        <v>2600.4</v>
      </c>
      <c r="G18" s="243">
        <f>ROUND((E18/D18),4)</f>
        <v>0.60009999999999997</v>
      </c>
      <c r="H18" s="14"/>
      <c r="N18" s="4" t="s">
        <v>1381</v>
      </c>
      <c r="O18" s="4" t="s">
        <v>1378</v>
      </c>
      <c r="P18" s="4" t="s">
        <v>1379</v>
      </c>
    </row>
    <row r="19" spans="2:16" s="4" customFormat="1" x14ac:dyDescent="0.3">
      <c r="B19" s="238" t="s">
        <v>1078</v>
      </c>
      <c r="C19" s="247" t="s">
        <v>261</v>
      </c>
      <c r="D19" s="114">
        <f>[4]Thingoe!$E$19</f>
        <v>12636</v>
      </c>
      <c r="E19" s="114">
        <f>[5]Thingoe!D19</f>
        <v>9100</v>
      </c>
      <c r="F19" s="145">
        <f t="shared" si="0"/>
        <v>3536</v>
      </c>
      <c r="G19" s="243">
        <f>ROUND((E19/D19),4)</f>
        <v>0.72019999999999995</v>
      </c>
      <c r="H19" s="14"/>
      <c r="N19" s="4" t="s">
        <v>1381</v>
      </c>
      <c r="O19" s="4" t="s">
        <v>1382</v>
      </c>
      <c r="P19" s="4" t="s">
        <v>1379</v>
      </c>
    </row>
    <row r="20" spans="2:16" s="3" customFormat="1" ht="14.5" thickBot="1" x14ac:dyDescent="0.35">
      <c r="B20" s="222" t="s">
        <v>1079</v>
      </c>
      <c r="C20" s="226" t="s">
        <v>262</v>
      </c>
      <c r="D20" s="109">
        <f>SUM(D16:D19)</f>
        <v>60364</v>
      </c>
      <c r="E20" s="109">
        <f>SUM(E16:E19)</f>
        <v>35914.6</v>
      </c>
      <c r="F20" s="109">
        <f t="shared" si="0"/>
        <v>24449.4</v>
      </c>
      <c r="G20" s="229">
        <f>ROUND((E20/D20),4)</f>
        <v>0.59499999999999997</v>
      </c>
      <c r="H20" s="14">
        <f t="shared" si="1"/>
        <v>0.59499999999999997</v>
      </c>
    </row>
    <row r="21" spans="2:16" s="4" customFormat="1" x14ac:dyDescent="0.3">
      <c r="B21" s="238"/>
      <c r="C21" s="233"/>
      <c r="D21" s="114"/>
      <c r="E21" s="114"/>
      <c r="F21" s="114"/>
      <c r="G21" s="243"/>
      <c r="H21" s="14"/>
    </row>
    <row r="22" spans="2:16" s="4" customFormat="1" x14ac:dyDescent="0.3">
      <c r="B22" s="238" t="s">
        <v>1080</v>
      </c>
      <c r="C22" s="233" t="s">
        <v>263</v>
      </c>
      <c r="D22" s="114">
        <f>[4]Thingoe!E22</f>
        <v>11000</v>
      </c>
      <c r="E22" s="114">
        <f>[5]Thingoe!D22</f>
        <v>4750</v>
      </c>
      <c r="F22" s="114">
        <f t="shared" ref="F22:F26" si="4">D22-E22</f>
        <v>6250</v>
      </c>
      <c r="G22" s="243">
        <f t="shared" ref="G22:G26" si="5">ROUND((E22/D22),4)</f>
        <v>0.43180000000000002</v>
      </c>
      <c r="H22" s="14"/>
      <c r="N22" s="4" t="s">
        <v>1381</v>
      </c>
      <c r="O22" s="4" t="s">
        <v>1382</v>
      </c>
      <c r="P22" s="4" t="s">
        <v>1379</v>
      </c>
    </row>
    <row r="23" spans="2:16" s="4" customFormat="1" x14ac:dyDescent="0.3">
      <c r="B23" s="238" t="s">
        <v>1081</v>
      </c>
      <c r="C23" s="233" t="s">
        <v>264</v>
      </c>
      <c r="D23" s="114">
        <f>[4]Thingoe!E23</f>
        <v>2000</v>
      </c>
      <c r="E23" s="114">
        <f>[5]Thingoe!D23</f>
        <v>1000</v>
      </c>
      <c r="F23" s="114">
        <f t="shared" si="4"/>
        <v>1000</v>
      </c>
      <c r="G23" s="243">
        <f t="shared" si="5"/>
        <v>0.5</v>
      </c>
      <c r="H23" s="14"/>
      <c r="N23" s="4" t="s">
        <v>1377</v>
      </c>
      <c r="O23" s="4" t="s">
        <v>1378</v>
      </c>
      <c r="P23" s="4" t="s">
        <v>1380</v>
      </c>
    </row>
    <row r="24" spans="2:16" s="4" customFormat="1" x14ac:dyDescent="0.3">
      <c r="B24" s="238" t="s">
        <v>1082</v>
      </c>
      <c r="C24" s="233" t="s">
        <v>265</v>
      </c>
      <c r="D24" s="114">
        <f>[4]Thingoe!E24</f>
        <v>5510</v>
      </c>
      <c r="E24" s="114">
        <f>[5]Thingoe!D24</f>
        <v>5510</v>
      </c>
      <c r="F24" s="114">
        <f t="shared" si="4"/>
        <v>0</v>
      </c>
      <c r="G24" s="243">
        <f t="shared" si="5"/>
        <v>1</v>
      </c>
      <c r="H24" s="14"/>
      <c r="N24" s="4" t="s">
        <v>1377</v>
      </c>
      <c r="O24" s="4" t="s">
        <v>1378</v>
      </c>
      <c r="P24" s="4" t="s">
        <v>1383</v>
      </c>
    </row>
    <row r="25" spans="2:16" s="4" customFormat="1" x14ac:dyDescent="0.3">
      <c r="B25" s="238" t="s">
        <v>1083</v>
      </c>
      <c r="C25" s="233" t="s">
        <v>266</v>
      </c>
      <c r="D25" s="114">
        <f>[4]Thingoe!E25</f>
        <v>1300</v>
      </c>
      <c r="E25" s="114">
        <f>[5]Thingoe!D25</f>
        <v>500</v>
      </c>
      <c r="F25" s="114">
        <f t="shared" si="4"/>
        <v>800</v>
      </c>
      <c r="G25" s="243">
        <f t="shared" si="5"/>
        <v>0.3846</v>
      </c>
      <c r="H25" s="14"/>
      <c r="N25" s="4" t="s">
        <v>1377</v>
      </c>
      <c r="O25" s="4" t="s">
        <v>1378</v>
      </c>
    </row>
    <row r="26" spans="2:16" s="4" customFormat="1" x14ac:dyDescent="0.3">
      <c r="B26" s="238" t="s">
        <v>1084</v>
      </c>
      <c r="C26" s="247" t="s">
        <v>268</v>
      </c>
      <c r="D26" s="114">
        <f>[4]Thingoe!E26</f>
        <v>12000</v>
      </c>
      <c r="E26" s="114">
        <f>[5]Thingoe!D26</f>
        <v>7600</v>
      </c>
      <c r="F26" s="145">
        <f t="shared" si="4"/>
        <v>4400</v>
      </c>
      <c r="G26" s="243">
        <f t="shared" si="5"/>
        <v>0.63329999999999997</v>
      </c>
      <c r="H26" s="14"/>
      <c r="N26" s="4" t="s">
        <v>1377</v>
      </c>
      <c r="O26" s="4" t="s">
        <v>1378</v>
      </c>
      <c r="P26" s="4" t="s">
        <v>1379</v>
      </c>
    </row>
    <row r="27" spans="2:16" s="3" customFormat="1" ht="14.5" thickBot="1" x14ac:dyDescent="0.35">
      <c r="B27" s="222" t="s">
        <v>1085</v>
      </c>
      <c r="C27" s="226" t="s">
        <v>267</v>
      </c>
      <c r="D27" s="109">
        <f>SUM(D22:D26)</f>
        <v>31810</v>
      </c>
      <c r="E27" s="109">
        <f>SUM(E22:E26)</f>
        <v>19360</v>
      </c>
      <c r="F27" s="109">
        <f t="shared" si="0"/>
        <v>12450</v>
      </c>
      <c r="G27" s="229">
        <f t="shared" ref="G27" si="6">ROUND((E27/D27),4)</f>
        <v>0.60860000000000003</v>
      </c>
      <c r="H27" s="14">
        <f t="shared" si="1"/>
        <v>0.60860000000000003</v>
      </c>
    </row>
    <row r="28" spans="2:16" s="4" customFormat="1" x14ac:dyDescent="0.3">
      <c r="B28" s="238"/>
      <c r="C28" s="233"/>
      <c r="D28" s="114"/>
      <c r="E28" s="114"/>
      <c r="F28" s="114"/>
      <c r="G28" s="243"/>
      <c r="H28" s="14"/>
    </row>
    <row r="29" spans="2:16" s="4" customFormat="1" x14ac:dyDescent="0.3">
      <c r="B29" s="238" t="s">
        <v>1086</v>
      </c>
      <c r="C29" s="233" t="s">
        <v>269</v>
      </c>
      <c r="D29" s="114">
        <f>[4]Thingoe!$E$29</f>
        <v>49875</v>
      </c>
      <c r="E29" s="114">
        <f>[5]Thingoe!D29</f>
        <v>28261.5</v>
      </c>
      <c r="F29" s="114">
        <f>D29-E29</f>
        <v>21613.5</v>
      </c>
      <c r="G29" s="243">
        <f t="shared" ref="G29:G40" si="7">ROUND((E29/D29),4)</f>
        <v>0.56659999999999999</v>
      </c>
      <c r="H29" s="14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1087</v>
      </c>
      <c r="C30" s="233" t="s">
        <v>270</v>
      </c>
      <c r="D30" s="114">
        <f>[4]Thingoe!$E$30</f>
        <v>9500</v>
      </c>
      <c r="E30" s="114">
        <f>[5]Thingoe!D30</f>
        <v>5543.4</v>
      </c>
      <c r="F30" s="114">
        <f t="shared" ref="F30:F39" si="8">D30-E30</f>
        <v>3956.6000000000004</v>
      </c>
      <c r="G30" s="243">
        <f t="shared" si="7"/>
        <v>0.58350000000000002</v>
      </c>
      <c r="H30" s="14"/>
      <c r="N30" s="4" t="s">
        <v>1377</v>
      </c>
      <c r="O30" s="4" t="s">
        <v>1378</v>
      </c>
      <c r="P30" s="4" t="s">
        <v>1379</v>
      </c>
    </row>
    <row r="31" spans="2:16" s="4" customFormat="1" x14ac:dyDescent="0.3">
      <c r="B31" s="238" t="s">
        <v>1088</v>
      </c>
      <c r="C31" s="233" t="s">
        <v>271</v>
      </c>
      <c r="D31" s="114">
        <f>[4]Thingoe!$E$31</f>
        <v>46360</v>
      </c>
      <c r="E31" s="114">
        <f>[5]Thingoe!D31</f>
        <v>27055</v>
      </c>
      <c r="F31" s="114">
        <f t="shared" si="8"/>
        <v>19305</v>
      </c>
      <c r="G31" s="243">
        <f t="shared" si="7"/>
        <v>0.58360000000000001</v>
      </c>
      <c r="H31" s="14"/>
      <c r="N31" s="4" t="s">
        <v>1384</v>
      </c>
      <c r="O31" s="4" t="s">
        <v>1382</v>
      </c>
      <c r="P31" s="4" t="s">
        <v>1379</v>
      </c>
    </row>
    <row r="32" spans="2:16" s="4" customFormat="1" hidden="1" x14ac:dyDescent="0.3">
      <c r="B32" s="238" t="s">
        <v>1357</v>
      </c>
      <c r="C32" s="233" t="s">
        <v>272</v>
      </c>
      <c r="D32" s="114">
        <v>0</v>
      </c>
      <c r="E32" s="114">
        <f>[5]Thingoe!D32</f>
        <v>0</v>
      </c>
      <c r="F32" s="114">
        <f t="shared" si="8"/>
        <v>0</v>
      </c>
      <c r="G32" s="243" t="e">
        <f t="shared" si="7"/>
        <v>#DIV/0!</v>
      </c>
      <c r="H32" s="14"/>
    </row>
    <row r="33" spans="2:16" s="4" customFormat="1" hidden="1" x14ac:dyDescent="0.3">
      <c r="B33" s="238" t="s">
        <v>1358</v>
      </c>
      <c r="C33" s="233" t="s">
        <v>273</v>
      </c>
      <c r="D33" s="114">
        <v>0</v>
      </c>
      <c r="E33" s="114">
        <f>[5]Thingoe!D33</f>
        <v>0</v>
      </c>
      <c r="F33" s="114">
        <f t="shared" si="8"/>
        <v>0</v>
      </c>
      <c r="G33" s="243" t="e">
        <f t="shared" si="7"/>
        <v>#DIV/0!</v>
      </c>
      <c r="H33" s="14"/>
    </row>
    <row r="34" spans="2:16" s="4" customFormat="1" hidden="1" x14ac:dyDescent="0.3">
      <c r="B34" s="238" t="s">
        <v>1359</v>
      </c>
      <c r="C34" s="233" t="s">
        <v>274</v>
      </c>
      <c r="D34" s="114">
        <v>0</v>
      </c>
      <c r="E34" s="114">
        <f>[5]Thingoe!D34</f>
        <v>0</v>
      </c>
      <c r="F34" s="114">
        <f t="shared" si="8"/>
        <v>0</v>
      </c>
      <c r="G34" s="243" t="e">
        <f t="shared" si="7"/>
        <v>#DIV/0!</v>
      </c>
      <c r="H34" s="14"/>
    </row>
    <row r="35" spans="2:16" s="4" customFormat="1" hidden="1" x14ac:dyDescent="0.3">
      <c r="B35" s="238" t="s">
        <v>1360</v>
      </c>
      <c r="C35" s="233" t="s">
        <v>275</v>
      </c>
      <c r="D35" s="114">
        <v>0</v>
      </c>
      <c r="E35" s="114">
        <f>[5]Thingoe!D35</f>
        <v>0</v>
      </c>
      <c r="F35" s="114">
        <f t="shared" si="8"/>
        <v>0</v>
      </c>
      <c r="G35" s="243" t="e">
        <f t="shared" si="7"/>
        <v>#DIV/0!</v>
      </c>
      <c r="H35" s="14"/>
    </row>
    <row r="36" spans="2:16" s="4" customFormat="1" hidden="1" x14ac:dyDescent="0.3">
      <c r="B36" s="238" t="s">
        <v>1361</v>
      </c>
      <c r="C36" s="233" t="s">
        <v>276</v>
      </c>
      <c r="D36" s="114">
        <v>0</v>
      </c>
      <c r="E36" s="114">
        <f>[5]Thingoe!D36</f>
        <v>0</v>
      </c>
      <c r="F36" s="114">
        <f t="shared" si="8"/>
        <v>0</v>
      </c>
      <c r="G36" s="243" t="e">
        <f t="shared" si="7"/>
        <v>#DIV/0!</v>
      </c>
      <c r="H36" s="14"/>
    </row>
    <row r="37" spans="2:16" s="4" customFormat="1" hidden="1" x14ac:dyDescent="0.3">
      <c r="B37" s="238" t="s">
        <v>1362</v>
      </c>
      <c r="C37" s="233" t="s">
        <v>277</v>
      </c>
      <c r="D37" s="114">
        <v>0</v>
      </c>
      <c r="E37" s="114">
        <f>[5]Thingoe!D37</f>
        <v>0</v>
      </c>
      <c r="F37" s="114">
        <f t="shared" si="8"/>
        <v>0</v>
      </c>
      <c r="G37" s="243" t="e">
        <f t="shared" si="7"/>
        <v>#DIV/0!</v>
      </c>
      <c r="H37" s="14"/>
    </row>
    <row r="38" spans="2:16" s="4" customFormat="1" ht="15" hidden="1" customHeight="1" x14ac:dyDescent="0.3">
      <c r="B38" s="238" t="s">
        <v>1363</v>
      </c>
      <c r="C38" s="233" t="s">
        <v>278</v>
      </c>
      <c r="D38" s="114">
        <v>0</v>
      </c>
      <c r="E38" s="114">
        <f>[5]Thingoe!D38</f>
        <v>0</v>
      </c>
      <c r="F38" s="114">
        <f t="shared" si="8"/>
        <v>0</v>
      </c>
      <c r="G38" s="243" t="e">
        <f t="shared" si="7"/>
        <v>#DIV/0!</v>
      </c>
      <c r="H38" s="14"/>
    </row>
    <row r="39" spans="2:16" s="4" customFormat="1" x14ac:dyDescent="0.3">
      <c r="B39" s="238" t="s">
        <v>1089</v>
      </c>
      <c r="C39" s="233" t="s">
        <v>543</v>
      </c>
      <c r="D39" s="114">
        <f>[4]Thingoe!$E$39</f>
        <v>43870</v>
      </c>
      <c r="E39" s="114">
        <f>[5]Thingoe!D39</f>
        <v>26322</v>
      </c>
      <c r="F39" s="114">
        <f t="shared" si="8"/>
        <v>17548</v>
      </c>
      <c r="G39" s="243">
        <f t="shared" si="7"/>
        <v>0.6</v>
      </c>
      <c r="H39" s="14"/>
      <c r="N39" s="4" t="s">
        <v>1381</v>
      </c>
      <c r="O39" s="4" t="s">
        <v>1382</v>
      </c>
      <c r="P39" s="4" t="s">
        <v>1379</v>
      </c>
    </row>
    <row r="40" spans="2:16" s="3" customFormat="1" ht="14.5" thickBot="1" x14ac:dyDescent="0.35">
      <c r="B40" s="124"/>
      <c r="C40" s="99" t="s">
        <v>279</v>
      </c>
      <c r="D40" s="110">
        <f>SUM(D29:D31,D39)</f>
        <v>149605</v>
      </c>
      <c r="E40" s="110">
        <f>SUM(E29:E31,E39)</f>
        <v>87181.9</v>
      </c>
      <c r="F40" s="110">
        <f t="shared" si="0"/>
        <v>62423.100000000006</v>
      </c>
      <c r="G40" s="137">
        <f t="shared" si="7"/>
        <v>0.5827</v>
      </c>
      <c r="H40" s="14">
        <f t="shared" si="1"/>
        <v>0.5827</v>
      </c>
    </row>
    <row r="41" spans="2:16" s="4" customFormat="1" x14ac:dyDescent="0.3">
      <c r="B41" s="126"/>
      <c r="C41" s="97"/>
      <c r="D41" s="111"/>
      <c r="E41" s="111"/>
      <c r="F41" s="111"/>
      <c r="G41" s="134"/>
    </row>
    <row r="42" spans="2:16" s="4" customFormat="1" x14ac:dyDescent="0.3">
      <c r="B42" s="238"/>
      <c r="C42" s="233" t="s">
        <v>1364</v>
      </c>
      <c r="D42" s="114">
        <f>[4]Thingoe!$E$42</f>
        <v>19627</v>
      </c>
      <c r="E42" s="114"/>
      <c r="F42" s="114"/>
      <c r="G42" s="243"/>
    </row>
    <row r="43" spans="2:16" s="4" customFormat="1" x14ac:dyDescent="0.3">
      <c r="B43" s="238"/>
      <c r="C43" s="233"/>
      <c r="D43" s="114"/>
      <c r="E43" s="114"/>
      <c r="F43" s="114"/>
      <c r="G43" s="243"/>
    </row>
    <row r="44" spans="2:16" s="4" customFormat="1" x14ac:dyDescent="0.3">
      <c r="B44" s="123"/>
      <c r="C44" s="89" t="s">
        <v>618</v>
      </c>
      <c r="D44" s="90"/>
      <c r="E44" s="114"/>
      <c r="F44" s="114"/>
      <c r="G44" s="243"/>
    </row>
    <row r="45" spans="2:16" s="4" customFormat="1" x14ac:dyDescent="0.3">
      <c r="B45" s="123"/>
      <c r="C45" s="96" t="s">
        <v>1639</v>
      </c>
      <c r="D45" s="113">
        <v>-14721</v>
      </c>
      <c r="E45" s="114"/>
      <c r="F45" s="114"/>
      <c r="G45" s="243"/>
    </row>
    <row r="46" spans="2:16" s="4" customFormat="1" x14ac:dyDescent="0.3">
      <c r="B46" s="126"/>
      <c r="C46" s="97"/>
      <c r="D46" s="111"/>
      <c r="E46" s="111"/>
      <c r="F46" s="111"/>
      <c r="G46" s="135"/>
    </row>
    <row r="47" spans="2:16" s="3" customFormat="1" ht="14.5" thickBot="1" x14ac:dyDescent="0.35">
      <c r="B47" s="124"/>
      <c r="C47" s="99" t="s">
        <v>58</v>
      </c>
      <c r="D47" s="110">
        <f>SUM(D40,D27,D20,D14,D10,D8,D42:D42)+D45</f>
        <v>525981</v>
      </c>
      <c r="E47" s="110">
        <f>SUM(E40,E27,E20,E14,E10,E8)</f>
        <v>295546.3</v>
      </c>
      <c r="F47" s="110">
        <f t="shared" si="0"/>
        <v>230434.7</v>
      </c>
      <c r="G47" s="136">
        <f>ROUND((E47/D47),4)</f>
        <v>0.56189999999999996</v>
      </c>
    </row>
    <row r="48" spans="2:16" s="4" customFormat="1" x14ac:dyDescent="0.3">
      <c r="B48" s="126"/>
      <c r="C48" s="97"/>
      <c r="D48" s="111"/>
      <c r="E48" s="111"/>
      <c r="F48" s="111"/>
      <c r="G48" s="134"/>
    </row>
    <row r="49" spans="2:7" s="4" customFormat="1" ht="14.5" thickBot="1" x14ac:dyDescent="0.35">
      <c r="B49" s="124"/>
      <c r="C49" s="99" t="s">
        <v>1630</v>
      </c>
      <c r="D49" s="110">
        <f>[7]Thingoe!$D$47</f>
        <v>547942</v>
      </c>
      <c r="E49" s="110">
        <v>318303</v>
      </c>
      <c r="F49" s="110">
        <f>D49-E49</f>
        <v>229639</v>
      </c>
      <c r="G49" s="136">
        <f>E49/D49</f>
        <v>0.58090637330228378</v>
      </c>
    </row>
    <row r="50" spans="2:7" s="4" customFormat="1" x14ac:dyDescent="0.3">
      <c r="G50" s="9"/>
    </row>
    <row r="51" spans="2:7" s="4" customFormat="1" x14ac:dyDescent="0.3">
      <c r="G51" s="9"/>
    </row>
    <row r="52" spans="2:7" s="4" customFormat="1" x14ac:dyDescent="0.3">
      <c r="G52" s="9"/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  <row r="64" spans="2:7" s="4" customFormat="1" x14ac:dyDescent="0.3">
      <c r="G64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&amp;L&amp;D&amp;R&amp;Z&amp;F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61"/>
  <sheetViews>
    <sheetView zoomScaleNormal="100" workbookViewId="0">
      <selection activeCell="D1" sqref="D1"/>
    </sheetView>
  </sheetViews>
  <sheetFormatPr defaultRowHeight="14" x14ac:dyDescent="0.3"/>
  <cols>
    <col min="1" max="1" width="9" style="24"/>
    <col min="2" max="2" width="10.83203125" style="24" bestFit="1" customWidth="1"/>
    <col min="3" max="3" width="55.33203125" bestFit="1" customWidth="1"/>
    <col min="4" max="6" width="12" bestFit="1" customWidth="1"/>
    <col min="7" max="7" width="12.5" style="8" bestFit="1" customWidth="1"/>
    <col min="8" max="8" width="9.83203125" hidden="1" customWidth="1"/>
    <col min="9" max="10" width="9" hidden="1" customWidth="1"/>
    <col min="11" max="11" width="19.7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2.5" x14ac:dyDescent="0.45">
      <c r="B2" s="115"/>
      <c r="C2" s="133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COUNTIF(H8:H51,"&gt;1")</f>
        <v>0</v>
      </c>
    </row>
    <row r="4" spans="2:16" s="3" customFormat="1" ht="18" thickBot="1" x14ac:dyDescent="0.4">
      <c r="B4" s="120"/>
      <c r="C4" s="158" t="s">
        <v>280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COUNTIF(H8:H51,1)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3</v>
      </c>
    </row>
    <row r="6" spans="2:16" s="3" customFormat="1" ht="14.25" customHeight="1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3" customFormat="1" ht="14.5" thickBot="1" x14ac:dyDescent="0.35">
      <c r="B8" s="222" t="s">
        <v>1090</v>
      </c>
      <c r="C8" s="226" t="s">
        <v>281</v>
      </c>
      <c r="D8" s="109">
        <f>[4]Colneys!$E$8</f>
        <v>66902</v>
      </c>
      <c r="E8" s="109">
        <f>[5]Colneys!$D$8</f>
        <v>28930</v>
      </c>
      <c r="F8" s="109">
        <f>D8-E8</f>
        <v>37972</v>
      </c>
      <c r="G8" s="229">
        <f>ROUND((E8/D8),4)</f>
        <v>0.43240000000000001</v>
      </c>
      <c r="H8" s="14">
        <f>G8</f>
        <v>0.43240000000000001</v>
      </c>
      <c r="J8" s="13"/>
      <c r="K8" s="13"/>
      <c r="L8" s="13">
        <f>SUM(L3:L7)</f>
        <v>7</v>
      </c>
      <c r="N8" s="4" t="s">
        <v>1384</v>
      </c>
      <c r="O8" s="4" t="s">
        <v>1382</v>
      </c>
      <c r="P8" s="4" t="s">
        <v>1379</v>
      </c>
    </row>
    <row r="9" spans="2:16" s="4" customFormat="1" x14ac:dyDescent="0.3">
      <c r="B9" s="230"/>
      <c r="C9" s="240"/>
      <c r="D9" s="114"/>
      <c r="E9" s="114"/>
      <c r="F9" s="114"/>
      <c r="G9" s="241"/>
      <c r="H9" s="14"/>
      <c r="J9" s="13"/>
    </row>
    <row r="10" spans="2:16" s="3" customFormat="1" ht="14.5" thickBot="1" x14ac:dyDescent="0.35">
      <c r="B10" s="222" t="s">
        <v>1091</v>
      </c>
      <c r="C10" s="226" t="s">
        <v>282</v>
      </c>
      <c r="D10" s="109">
        <f>[4]Colneys!$E$10</f>
        <v>74732</v>
      </c>
      <c r="E10" s="109">
        <f>[5]Colneys!$D$10</f>
        <v>37395</v>
      </c>
      <c r="F10" s="109">
        <f t="shared" ref="F10:F37" si="0">D10-E10</f>
        <v>37337</v>
      </c>
      <c r="G10" s="229">
        <f t="shared" ref="G10:G37" si="1">ROUND((E10/D10),4)</f>
        <v>0.50039999999999996</v>
      </c>
      <c r="H10" s="14">
        <f t="shared" ref="H10:H35" si="2">G10</f>
        <v>0.50039999999999996</v>
      </c>
      <c r="K10" s="13"/>
      <c r="L10" s="13"/>
      <c r="N10" s="4" t="s">
        <v>1377</v>
      </c>
      <c r="O10" s="4" t="s">
        <v>1378</v>
      </c>
      <c r="P10" s="4" t="s">
        <v>1379</v>
      </c>
    </row>
    <row r="11" spans="2:16" s="3" customFormat="1" x14ac:dyDescent="0.3">
      <c r="B11" s="258"/>
      <c r="C11" s="284"/>
      <c r="D11" s="236"/>
      <c r="E11" s="236"/>
      <c r="F11" s="236"/>
      <c r="G11" s="259"/>
      <c r="H11" s="14"/>
      <c r="K11" s="24"/>
      <c r="L11" s="24"/>
      <c r="N11" s="4"/>
      <c r="O11" s="4"/>
      <c r="P11" s="4"/>
    </row>
    <row r="12" spans="2:16" s="3" customFormat="1" x14ac:dyDescent="0.3">
      <c r="B12" s="238" t="s">
        <v>1641</v>
      </c>
      <c r="C12" s="233" t="s">
        <v>283</v>
      </c>
      <c r="D12" s="416">
        <f>[4]Colneys!$E$13</f>
        <v>67542</v>
      </c>
      <c r="E12" s="634">
        <f>[5]Colneys!$D$12</f>
        <v>16500</v>
      </c>
      <c r="F12" s="114">
        <f t="shared" si="0"/>
        <v>51042</v>
      </c>
      <c r="G12" s="251">
        <f t="shared" si="1"/>
        <v>0.24429999999999999</v>
      </c>
      <c r="H12" s="14"/>
      <c r="K12" s="24"/>
      <c r="L12" s="24"/>
      <c r="N12" s="4"/>
      <c r="O12" s="4"/>
      <c r="P12" s="4"/>
    </row>
    <row r="13" spans="2:16" s="3" customFormat="1" x14ac:dyDescent="0.3">
      <c r="B13" s="238" t="s">
        <v>1642</v>
      </c>
      <c r="C13" s="233" t="s">
        <v>1643</v>
      </c>
      <c r="D13" s="416">
        <v>0</v>
      </c>
      <c r="E13" s="114">
        <v>0</v>
      </c>
      <c r="F13" s="114">
        <v>0</v>
      </c>
      <c r="G13" s="251">
        <v>0</v>
      </c>
      <c r="H13" s="14"/>
      <c r="K13" s="24"/>
      <c r="L13" s="24"/>
      <c r="N13" s="4"/>
      <c r="O13" s="4"/>
      <c r="P13" s="4"/>
    </row>
    <row r="14" spans="2:16" s="4" customFormat="1" x14ac:dyDescent="0.3">
      <c r="B14" s="230" t="s">
        <v>1645</v>
      </c>
      <c r="C14" s="247" t="s">
        <v>1644</v>
      </c>
      <c r="D14" s="114">
        <v>0</v>
      </c>
      <c r="E14" s="114">
        <v>0</v>
      </c>
      <c r="F14" s="114">
        <v>0</v>
      </c>
      <c r="G14" s="241">
        <v>0</v>
      </c>
      <c r="H14" s="14"/>
      <c r="K14" s="13"/>
      <c r="L14" s="13"/>
    </row>
    <row r="15" spans="2:16" s="3" customFormat="1" ht="14.5" thickBot="1" x14ac:dyDescent="0.35">
      <c r="B15" s="222" t="s">
        <v>1092</v>
      </c>
      <c r="C15" s="226" t="s">
        <v>283</v>
      </c>
      <c r="D15" s="109">
        <f>[4]Colneys!$E$13</f>
        <v>67542</v>
      </c>
      <c r="E15" s="109">
        <f>[5]Colneys!$D$12</f>
        <v>16500</v>
      </c>
      <c r="F15" s="109">
        <f t="shared" si="0"/>
        <v>51042</v>
      </c>
      <c r="G15" s="229">
        <f t="shared" si="1"/>
        <v>0.24429999999999999</v>
      </c>
      <c r="H15" s="14">
        <f t="shared" si="2"/>
        <v>0.24429999999999999</v>
      </c>
      <c r="N15" s="4" t="s">
        <v>1381</v>
      </c>
      <c r="O15" s="4" t="s">
        <v>1382</v>
      </c>
      <c r="P15" s="4" t="s">
        <v>1379</v>
      </c>
    </row>
    <row r="16" spans="2:16" s="4" customFormat="1" x14ac:dyDescent="0.3">
      <c r="B16" s="238"/>
      <c r="C16" s="242"/>
      <c r="D16" s="114"/>
      <c r="E16" s="114"/>
      <c r="F16" s="114"/>
      <c r="G16" s="243"/>
      <c r="H16" s="14"/>
    </row>
    <row r="17" spans="2:16" s="4" customFormat="1" x14ac:dyDescent="0.3">
      <c r="B17" s="238" t="s">
        <v>1093</v>
      </c>
      <c r="C17" s="233" t="s">
        <v>284</v>
      </c>
      <c r="D17" s="114">
        <f>[4]Colneys!E18</f>
        <v>8116</v>
      </c>
      <c r="E17" s="114">
        <f>[5]Colneys!D14</f>
        <v>3280</v>
      </c>
      <c r="F17" s="114">
        <f t="shared" si="0"/>
        <v>4836</v>
      </c>
      <c r="G17" s="243">
        <f t="shared" si="1"/>
        <v>0.40410000000000001</v>
      </c>
      <c r="H17" s="14"/>
      <c r="N17" s="4" t="s">
        <v>1381</v>
      </c>
      <c r="O17" s="4" t="s">
        <v>1378</v>
      </c>
      <c r="P17" s="4" t="s">
        <v>1380</v>
      </c>
    </row>
    <row r="18" spans="2:16" s="4" customFormat="1" x14ac:dyDescent="0.3">
      <c r="B18" s="238" t="s">
        <v>1094</v>
      </c>
      <c r="C18" s="617" t="s">
        <v>285</v>
      </c>
      <c r="D18" s="114">
        <f>[4]Colneys!E19</f>
        <v>63483</v>
      </c>
      <c r="E18" s="114">
        <f>[5]Colneys!D15</f>
        <v>35000</v>
      </c>
      <c r="F18" s="114">
        <f t="shared" si="0"/>
        <v>28483</v>
      </c>
      <c r="G18" s="243">
        <f t="shared" si="1"/>
        <v>0.55130000000000001</v>
      </c>
      <c r="H18" s="14"/>
      <c r="N18" s="4" t="s">
        <v>1381</v>
      </c>
      <c r="O18" s="4" t="s">
        <v>1382</v>
      </c>
      <c r="P18" s="4" t="s">
        <v>1379</v>
      </c>
    </row>
    <row r="19" spans="2:16" s="3" customFormat="1" ht="14.5" thickBot="1" x14ac:dyDescent="0.35">
      <c r="B19" s="222" t="s">
        <v>1095</v>
      </c>
      <c r="C19" s="226" t="s">
        <v>298</v>
      </c>
      <c r="D19" s="109">
        <f>SUM(D17:D18)</f>
        <v>71599</v>
      </c>
      <c r="E19" s="109">
        <f>SUM(E17:E18)</f>
        <v>38280</v>
      </c>
      <c r="F19" s="109">
        <f t="shared" si="0"/>
        <v>33319</v>
      </c>
      <c r="G19" s="229">
        <f t="shared" si="1"/>
        <v>0.53459999999999996</v>
      </c>
      <c r="H19" s="14">
        <f t="shared" si="2"/>
        <v>0.53459999999999996</v>
      </c>
    </row>
    <row r="20" spans="2:16" s="4" customFormat="1" x14ac:dyDescent="0.3">
      <c r="B20" s="230"/>
      <c r="C20" s="240"/>
      <c r="D20" s="114"/>
      <c r="E20" s="114"/>
      <c r="F20" s="114"/>
      <c r="G20" s="241"/>
      <c r="H20" s="14"/>
    </row>
    <row r="21" spans="2:16" s="3" customFormat="1" ht="14.5" thickBot="1" x14ac:dyDescent="0.35">
      <c r="B21" s="222" t="s">
        <v>1096</v>
      </c>
      <c r="C21" s="226" t="s">
        <v>286</v>
      </c>
      <c r="D21" s="109">
        <f>[4]Colneys!$E$22</f>
        <v>55480</v>
      </c>
      <c r="E21" s="109">
        <f>[5]Colneys!$D$18</f>
        <v>32361</v>
      </c>
      <c r="F21" s="109">
        <f t="shared" si="0"/>
        <v>23119</v>
      </c>
      <c r="G21" s="229">
        <f t="shared" si="1"/>
        <v>0.58330000000000004</v>
      </c>
      <c r="H21" s="14">
        <f t="shared" si="2"/>
        <v>0.58330000000000004</v>
      </c>
      <c r="N21" s="4" t="s">
        <v>1381</v>
      </c>
      <c r="O21" s="4" t="s">
        <v>1382</v>
      </c>
      <c r="P21" s="4" t="s">
        <v>1379</v>
      </c>
    </row>
    <row r="22" spans="2:16" s="4" customFormat="1" x14ac:dyDescent="0.3">
      <c r="B22" s="230"/>
      <c r="C22" s="240"/>
      <c r="D22" s="145"/>
      <c r="E22" s="145"/>
      <c r="F22" s="145"/>
      <c r="G22" s="241"/>
      <c r="H22" s="14"/>
    </row>
    <row r="23" spans="2:16" s="4" customFormat="1" x14ac:dyDescent="0.3">
      <c r="B23" s="238" t="s">
        <v>1097</v>
      </c>
      <c r="C23" s="233" t="s">
        <v>287</v>
      </c>
      <c r="D23" s="114">
        <f>[4]Colneys!E24</f>
        <v>24485</v>
      </c>
      <c r="E23" s="114">
        <f>[5]Colneys!D20</f>
        <v>14286</v>
      </c>
      <c r="F23" s="114">
        <f t="shared" si="0"/>
        <v>10199</v>
      </c>
      <c r="G23" s="243">
        <f t="shared" si="1"/>
        <v>0.58350000000000002</v>
      </c>
      <c r="H23" s="14"/>
      <c r="N23" s="4" t="s">
        <v>1381</v>
      </c>
      <c r="O23" s="4" t="s">
        <v>1382</v>
      </c>
      <c r="P23" s="4" t="s">
        <v>1379</v>
      </c>
    </row>
    <row r="24" spans="2:16" s="4" customFormat="1" x14ac:dyDescent="0.3">
      <c r="B24" s="230" t="s">
        <v>1098</v>
      </c>
      <c r="C24" s="247" t="s">
        <v>288</v>
      </c>
      <c r="D24" s="114">
        <f>[4]Colneys!E25</f>
        <v>45593</v>
      </c>
      <c r="E24" s="114">
        <f>[5]Colneys!D21</f>
        <v>22995.9</v>
      </c>
      <c r="F24" s="145">
        <f t="shared" si="0"/>
        <v>22597.1</v>
      </c>
      <c r="G24" s="243">
        <f t="shared" si="1"/>
        <v>0.50439999999999996</v>
      </c>
      <c r="H24" s="14"/>
      <c r="N24" s="4" t="s">
        <v>1381</v>
      </c>
      <c r="O24" s="4" t="s">
        <v>1382</v>
      </c>
      <c r="P24" s="4" t="s">
        <v>1379</v>
      </c>
    </row>
    <row r="25" spans="2:16" s="3" customFormat="1" ht="14.5" thickBot="1" x14ac:dyDescent="0.35">
      <c r="B25" s="222" t="s">
        <v>1099</v>
      </c>
      <c r="C25" s="226" t="s">
        <v>289</v>
      </c>
      <c r="D25" s="109">
        <f>SUM(D23:D24)</f>
        <v>70078</v>
      </c>
      <c r="E25" s="109">
        <f>SUM(E23:E24)</f>
        <v>37281.9</v>
      </c>
      <c r="F25" s="109">
        <f t="shared" si="0"/>
        <v>32796.1</v>
      </c>
      <c r="G25" s="229">
        <f t="shared" si="1"/>
        <v>0.53200000000000003</v>
      </c>
      <c r="H25" s="14">
        <f t="shared" si="2"/>
        <v>0.53200000000000003</v>
      </c>
    </row>
    <row r="26" spans="2:16" s="4" customFormat="1" x14ac:dyDescent="0.3">
      <c r="B26" s="230"/>
      <c r="C26" s="240"/>
      <c r="D26" s="145"/>
      <c r="E26" s="145"/>
      <c r="F26" s="145"/>
      <c r="G26" s="241"/>
      <c r="H26" s="14"/>
    </row>
    <row r="27" spans="2:16" s="4" customFormat="1" x14ac:dyDescent="0.3">
      <c r="B27" s="238" t="s">
        <v>1100</v>
      </c>
      <c r="C27" s="286" t="s">
        <v>290</v>
      </c>
      <c r="D27" s="114">
        <f>[4]Colneys!E28</f>
        <v>10410</v>
      </c>
      <c r="E27" s="114">
        <f>[5]Colneys!D24</f>
        <v>6152.4</v>
      </c>
      <c r="F27" s="114">
        <f t="shared" si="0"/>
        <v>4257.6000000000004</v>
      </c>
      <c r="G27" s="243">
        <f t="shared" si="1"/>
        <v>0.59099999999999997</v>
      </c>
      <c r="H27" s="14"/>
      <c r="N27" s="4" t="s">
        <v>1381</v>
      </c>
      <c r="O27" s="4" t="s">
        <v>1382</v>
      </c>
      <c r="P27" s="4" t="s">
        <v>1379</v>
      </c>
    </row>
    <row r="28" spans="2:16" s="4" customFormat="1" x14ac:dyDescent="0.3">
      <c r="B28" s="238" t="s">
        <v>1101</v>
      </c>
      <c r="C28" s="233" t="s">
        <v>544</v>
      </c>
      <c r="D28" s="114">
        <f>[4]Colneys!E29</f>
        <v>7106</v>
      </c>
      <c r="E28" s="114">
        <f>[5]Colneys!D25</f>
        <v>5550</v>
      </c>
      <c r="F28" s="114">
        <f t="shared" si="0"/>
        <v>1556</v>
      </c>
      <c r="G28" s="243">
        <f t="shared" si="1"/>
        <v>0.78100000000000003</v>
      </c>
      <c r="H28" s="14"/>
      <c r="N28" s="4" t="s">
        <v>1381</v>
      </c>
      <c r="O28" s="4" t="s">
        <v>1382</v>
      </c>
      <c r="P28" s="4" t="s">
        <v>1379</v>
      </c>
    </row>
    <row r="29" spans="2:16" s="4" customFormat="1" x14ac:dyDescent="0.3">
      <c r="B29" s="238" t="s">
        <v>863</v>
      </c>
      <c r="C29" s="233" t="s">
        <v>291</v>
      </c>
      <c r="D29" s="114">
        <f>[4]Colneys!E30</f>
        <v>2701</v>
      </c>
      <c r="E29" s="114">
        <f>[5]Colneys!D26</f>
        <v>1200</v>
      </c>
      <c r="F29" s="114">
        <f t="shared" si="0"/>
        <v>1501</v>
      </c>
      <c r="G29" s="243">
        <f t="shared" si="1"/>
        <v>0.44429999999999997</v>
      </c>
      <c r="H29" s="14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1102</v>
      </c>
      <c r="C30" s="233" t="s">
        <v>292</v>
      </c>
      <c r="D30" s="114">
        <f>[4]Colneys!E31</f>
        <v>19842</v>
      </c>
      <c r="E30" s="114">
        <f>[5]Colneys!D27</f>
        <v>9100</v>
      </c>
      <c r="F30" s="114">
        <f t="shared" si="0"/>
        <v>10742</v>
      </c>
      <c r="G30" s="243">
        <f t="shared" si="1"/>
        <v>0.45860000000000001</v>
      </c>
      <c r="H30" s="14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1103</v>
      </c>
      <c r="C31" s="233" t="s">
        <v>293</v>
      </c>
      <c r="D31" s="114">
        <f>[4]Colneys!E32</f>
        <v>7447</v>
      </c>
      <c r="E31" s="114">
        <f>[5]Colneys!D28</f>
        <v>4398</v>
      </c>
      <c r="F31" s="114">
        <f t="shared" si="0"/>
        <v>3049</v>
      </c>
      <c r="G31" s="243">
        <f t="shared" si="1"/>
        <v>0.59060000000000001</v>
      </c>
      <c r="H31" s="14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1104</v>
      </c>
      <c r="C32" s="233" t="s">
        <v>294</v>
      </c>
      <c r="D32" s="114">
        <f>[4]Colneys!E33</f>
        <v>13804</v>
      </c>
      <c r="E32" s="114">
        <f>[5]Colneys!D29</f>
        <v>8155.18</v>
      </c>
      <c r="F32" s="114">
        <f t="shared" si="0"/>
        <v>5648.82</v>
      </c>
      <c r="G32" s="243">
        <f t="shared" si="1"/>
        <v>0.59079999999999999</v>
      </c>
      <c r="H32" s="14"/>
      <c r="N32" s="4" t="s">
        <v>1381</v>
      </c>
      <c r="O32" s="4" t="s">
        <v>1382</v>
      </c>
      <c r="P32" s="4" t="s">
        <v>1379</v>
      </c>
    </row>
    <row r="33" spans="2:16" s="4" customFormat="1" x14ac:dyDescent="0.3">
      <c r="B33" s="238" t="s">
        <v>1105</v>
      </c>
      <c r="C33" s="233" t="s">
        <v>295</v>
      </c>
      <c r="D33" s="114">
        <f>[4]Colneys!E34</f>
        <v>5282</v>
      </c>
      <c r="E33" s="114">
        <f>[5]Colneys!D30</f>
        <v>2100</v>
      </c>
      <c r="F33" s="114">
        <f t="shared" si="0"/>
        <v>3182</v>
      </c>
      <c r="G33" s="188">
        <f t="shared" si="1"/>
        <v>0.39760000000000001</v>
      </c>
      <c r="H33" s="14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0" t="s">
        <v>1106</v>
      </c>
      <c r="C34" s="247" t="s">
        <v>296</v>
      </c>
      <c r="D34" s="114">
        <f>[4]Colneys!E35</f>
        <v>8747</v>
      </c>
      <c r="E34" s="114">
        <f>[5]Colneys!D31</f>
        <v>4164</v>
      </c>
      <c r="F34" s="145">
        <f t="shared" si="0"/>
        <v>4583</v>
      </c>
      <c r="G34" s="188">
        <f t="shared" si="1"/>
        <v>0.47599999999999998</v>
      </c>
      <c r="H34" s="14"/>
      <c r="N34" s="4" t="s">
        <v>1377</v>
      </c>
      <c r="O34" s="4" t="s">
        <v>1378</v>
      </c>
      <c r="P34" s="4" t="s">
        <v>1379</v>
      </c>
    </row>
    <row r="35" spans="2:16" s="3" customFormat="1" ht="14.5" thickBot="1" x14ac:dyDescent="0.35">
      <c r="B35" s="222" t="s">
        <v>1107</v>
      </c>
      <c r="C35" s="226" t="s">
        <v>297</v>
      </c>
      <c r="D35" s="109">
        <f>SUM(D27:D34)</f>
        <v>75339</v>
      </c>
      <c r="E35" s="109">
        <f>SUM(E27:E34)</f>
        <v>40819.58</v>
      </c>
      <c r="F35" s="109">
        <f t="shared" si="0"/>
        <v>34519.42</v>
      </c>
      <c r="G35" s="229">
        <f t="shared" si="1"/>
        <v>0.54179999999999995</v>
      </c>
      <c r="H35" s="14">
        <f t="shared" si="2"/>
        <v>0.54179999999999995</v>
      </c>
    </row>
    <row r="36" spans="2:16" s="4" customFormat="1" x14ac:dyDescent="0.3">
      <c r="B36" s="230"/>
      <c r="C36" s="240"/>
      <c r="D36" s="114"/>
      <c r="E36" s="114"/>
      <c r="F36" s="114"/>
      <c r="G36" s="241"/>
    </row>
    <row r="37" spans="2:16" s="3" customFormat="1" ht="14.5" thickBot="1" x14ac:dyDescent="0.35">
      <c r="B37" s="267"/>
      <c r="C37" s="226" t="s">
        <v>58</v>
      </c>
      <c r="D37" s="109">
        <f>SUM(D35,D25,D21,D19,D15,D10,D8)</f>
        <v>481672</v>
      </c>
      <c r="E37" s="109">
        <f>SUM(E35,E25,E21,E19,E15,E10,E8)</f>
        <v>231567.48</v>
      </c>
      <c r="F37" s="109">
        <f t="shared" si="0"/>
        <v>250104.52</v>
      </c>
      <c r="G37" s="282">
        <f t="shared" si="1"/>
        <v>0.48080000000000001</v>
      </c>
    </row>
    <row r="38" spans="2:16" s="4" customFormat="1" x14ac:dyDescent="0.3">
      <c r="B38" s="244"/>
      <c r="C38" s="240"/>
      <c r="D38" s="114"/>
      <c r="E38" s="114"/>
      <c r="F38" s="114"/>
      <c r="G38" s="246"/>
    </row>
    <row r="39" spans="2:16" s="4" customFormat="1" ht="14.5" thickBot="1" x14ac:dyDescent="0.35">
      <c r="B39" s="267"/>
      <c r="C39" s="226" t="s">
        <v>1630</v>
      </c>
      <c r="D39" s="109">
        <f>[7]Colneys!$D$35</f>
        <v>471699</v>
      </c>
      <c r="E39" s="109">
        <v>247202</v>
      </c>
      <c r="F39" s="109">
        <f>D39-E39</f>
        <v>224497</v>
      </c>
      <c r="G39" s="282">
        <f>E39/D39</f>
        <v>0.52406725475356108</v>
      </c>
    </row>
    <row r="40" spans="2:16" s="4" customFormat="1" x14ac:dyDescent="0.3">
      <c r="D40" s="5"/>
      <c r="E40" s="5"/>
      <c r="F40" s="5"/>
      <c r="G40" s="9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D42" s="5"/>
      <c r="E42" s="5"/>
      <c r="F42" s="5"/>
      <c r="G42" s="9"/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D44" s="5"/>
      <c r="E44" s="5"/>
      <c r="F44" s="5"/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&amp;L&amp;D&amp;R&amp;Z&amp;F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60"/>
  <sheetViews>
    <sheetView topLeftCell="A22" zoomScaleNormal="100" workbookViewId="0">
      <selection activeCell="F35" sqref="F35"/>
    </sheetView>
  </sheetViews>
  <sheetFormatPr defaultRowHeight="14" x14ac:dyDescent="0.3"/>
  <cols>
    <col min="1" max="1" width="9" style="24"/>
    <col min="2" max="2" width="10.5" style="24" bestFit="1" customWidth="1"/>
    <col min="3" max="3" width="40.58203125" bestFit="1" customWidth="1"/>
    <col min="4" max="6" width="12" bestFit="1" customWidth="1"/>
    <col min="7" max="7" width="12.5" style="8" bestFit="1" customWidth="1"/>
    <col min="8" max="10" width="9" hidden="1" customWidth="1"/>
    <col min="11" max="11" width="19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0" hidden="1" customWidth="1"/>
  </cols>
  <sheetData>
    <row r="1" spans="2:18" s="24" customFormat="1" ht="14.5" thickBot="1" x14ac:dyDescent="0.35">
      <c r="G1" s="8"/>
    </row>
    <row r="2" spans="2:18" s="2" customFormat="1" ht="22.5" x14ac:dyDescent="0.45">
      <c r="B2" s="115"/>
      <c r="C2" s="133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8" ht="14.25" customHeight="1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COUNTIF(H8:H48,"&gt;1")</f>
        <v>0</v>
      </c>
    </row>
    <row r="4" spans="2:18" s="3" customFormat="1" ht="18" thickBot="1" x14ac:dyDescent="0.4">
      <c r="B4" s="120"/>
      <c r="C4" s="303" t="s">
        <v>299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COUNTIF(H8:H48,1)</f>
        <v>0</v>
      </c>
    </row>
    <row r="5" spans="2:18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COUNTIFS(H8:H48,"&gt;="&amp;Target,H8:H48,"&lt;"&amp;1)</f>
        <v>0</v>
      </c>
    </row>
    <row r="6" spans="2:18" s="3" customFormat="1" ht="14.5" thickBot="1" x14ac:dyDescent="0.35">
      <c r="B6" s="141" t="s">
        <v>611</v>
      </c>
      <c r="C6" s="108" t="s">
        <v>29</v>
      </c>
      <c r="D6" s="108" t="s">
        <v>1</v>
      </c>
      <c r="E6" s="108" t="s">
        <v>2</v>
      </c>
      <c r="F6" s="162" t="s">
        <v>3</v>
      </c>
      <c r="G6" s="164" t="s">
        <v>4</v>
      </c>
      <c r="H6" s="3" t="s">
        <v>563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8" s="4" customFormat="1" x14ac:dyDescent="0.3">
      <c r="B7" s="142"/>
      <c r="C7" s="143"/>
      <c r="D7" s="139"/>
      <c r="E7" s="143"/>
      <c r="F7" s="143"/>
      <c r="G7" s="167"/>
      <c r="J7" s="13"/>
      <c r="K7" s="24" t="s">
        <v>557</v>
      </c>
      <c r="L7" s="13">
        <v>0</v>
      </c>
    </row>
    <row r="8" spans="2:18" s="4" customFormat="1" x14ac:dyDescent="0.3">
      <c r="B8" s="238" t="s">
        <v>1108</v>
      </c>
      <c r="C8" s="233" t="s">
        <v>300</v>
      </c>
      <c r="D8" s="631">
        <f>[4]Hartismere!E8</f>
        <v>7704</v>
      </c>
      <c r="E8" s="114">
        <f>[5]Hartismere!D8</f>
        <v>600</v>
      </c>
      <c r="F8" s="114">
        <f>D8-E8</f>
        <v>7104</v>
      </c>
      <c r="G8" s="320">
        <f>ROUND((E8/D8),4)</f>
        <v>7.7899999999999997E-2</v>
      </c>
      <c r="H8" s="16"/>
      <c r="J8" s="13"/>
      <c r="K8" s="13"/>
      <c r="L8" s="13">
        <f>SUM(L3:L7)</f>
        <v>3</v>
      </c>
      <c r="N8" s="4" t="s">
        <v>1381</v>
      </c>
      <c r="O8" s="4" t="s">
        <v>1382</v>
      </c>
      <c r="P8" s="4" t="s">
        <v>1379</v>
      </c>
    </row>
    <row r="9" spans="2:18" s="4" customFormat="1" x14ac:dyDescent="0.3">
      <c r="B9" s="238" t="s">
        <v>1109</v>
      </c>
      <c r="C9" s="233" t="s">
        <v>301</v>
      </c>
      <c r="D9" s="631">
        <f>[4]Hartismere!E9</f>
        <v>48178</v>
      </c>
      <c r="E9" s="114">
        <f>[5]Hartismere!D9</f>
        <v>7900</v>
      </c>
      <c r="F9" s="114">
        <f t="shared" ref="F9:F33" si="0">D9-E9</f>
        <v>40278</v>
      </c>
      <c r="G9" s="320">
        <f t="shared" ref="G9:G33" si="1">ROUND((E9/D9),4)</f>
        <v>0.16400000000000001</v>
      </c>
      <c r="H9" s="16"/>
      <c r="J9" s="13"/>
      <c r="N9" s="4" t="s">
        <v>1381</v>
      </c>
      <c r="O9" s="4" t="s">
        <v>1382</v>
      </c>
      <c r="P9" s="4" t="s">
        <v>1379</v>
      </c>
    </row>
    <row r="10" spans="2:18" s="4" customFormat="1" x14ac:dyDescent="0.3">
      <c r="B10" s="230" t="s">
        <v>1110</v>
      </c>
      <c r="C10" s="247" t="s">
        <v>302</v>
      </c>
      <c r="D10" s="145">
        <f>[4]Hartismere!E10</f>
        <v>10413</v>
      </c>
      <c r="E10" s="114">
        <f>[5]Hartismere!D10</f>
        <v>3000</v>
      </c>
      <c r="F10" s="145">
        <f t="shared" si="0"/>
        <v>7413</v>
      </c>
      <c r="G10" s="320">
        <f t="shared" si="1"/>
        <v>0.28810000000000002</v>
      </c>
      <c r="H10" s="16"/>
      <c r="K10" s="13"/>
      <c r="L10" s="13"/>
      <c r="N10" s="4" t="s">
        <v>1381</v>
      </c>
      <c r="O10" s="4" t="s">
        <v>1382</v>
      </c>
      <c r="P10" s="4" t="s">
        <v>1379</v>
      </c>
    </row>
    <row r="11" spans="2:18" s="3" customFormat="1" ht="14.5" thickBot="1" x14ac:dyDescent="0.35">
      <c r="B11" s="309" t="s">
        <v>1111</v>
      </c>
      <c r="C11" s="310" t="s">
        <v>303</v>
      </c>
      <c r="D11" s="311">
        <f>SUM(D8:D10)</f>
        <v>66295</v>
      </c>
      <c r="E11" s="239">
        <f>SUM(E8:E10)</f>
        <v>11500</v>
      </c>
      <c r="F11" s="239">
        <f t="shared" si="0"/>
        <v>54795</v>
      </c>
      <c r="G11" s="227">
        <f t="shared" si="1"/>
        <v>0.17349999999999999</v>
      </c>
      <c r="H11" s="14">
        <f t="shared" ref="H11:H31" si="2">G11</f>
        <v>0.17349999999999999</v>
      </c>
      <c r="K11" s="13"/>
    </row>
    <row r="12" spans="2:18" s="4" customFormat="1" x14ac:dyDescent="0.3">
      <c r="B12" s="244"/>
      <c r="C12" s="240"/>
      <c r="D12" s="312"/>
      <c r="E12" s="245"/>
      <c r="F12" s="245"/>
      <c r="G12" s="313"/>
      <c r="H12" s="16"/>
    </row>
    <row r="13" spans="2:18" s="4" customFormat="1" x14ac:dyDescent="0.3">
      <c r="B13" s="238" t="s">
        <v>1112</v>
      </c>
      <c r="C13" s="233" t="s">
        <v>304</v>
      </c>
      <c r="D13" s="114">
        <f>[4]Hartismere!E13</f>
        <v>12076</v>
      </c>
      <c r="E13" s="114">
        <f>[5]Hartismere!D13</f>
        <v>6038</v>
      </c>
      <c r="F13" s="114">
        <f t="shared" si="0"/>
        <v>6038</v>
      </c>
      <c r="G13" s="243">
        <f t="shared" si="1"/>
        <v>0.5</v>
      </c>
      <c r="H13" s="16"/>
    </row>
    <row r="14" spans="2:18" s="4" customFormat="1" x14ac:dyDescent="0.3">
      <c r="B14" s="238" t="s">
        <v>1113</v>
      </c>
      <c r="C14" s="233" t="s">
        <v>305</v>
      </c>
      <c r="D14" s="114">
        <f>[4]Hartismere!E14</f>
        <v>7246</v>
      </c>
      <c r="E14" s="114">
        <f>[5]Hartismere!D14</f>
        <v>0</v>
      </c>
      <c r="F14" s="114">
        <f t="shared" si="0"/>
        <v>7246</v>
      </c>
      <c r="G14" s="320">
        <f t="shared" si="1"/>
        <v>0</v>
      </c>
      <c r="H14" s="16"/>
      <c r="N14" s="4" t="s">
        <v>1377</v>
      </c>
      <c r="O14" s="4" t="s">
        <v>1378</v>
      </c>
      <c r="P14" s="4" t="s">
        <v>1379</v>
      </c>
    </row>
    <row r="15" spans="2:18" s="4" customFormat="1" x14ac:dyDescent="0.3">
      <c r="B15" s="238" t="s">
        <v>1114</v>
      </c>
      <c r="C15" s="233" t="s">
        <v>306</v>
      </c>
      <c r="D15" s="114">
        <f>[4]Hartismere!E15</f>
        <v>16303</v>
      </c>
      <c r="E15" s="114">
        <f>[5]Hartismere!D15</f>
        <v>0</v>
      </c>
      <c r="F15" s="114">
        <f t="shared" si="0"/>
        <v>16303</v>
      </c>
      <c r="G15" s="320">
        <f t="shared" si="1"/>
        <v>0</v>
      </c>
      <c r="H15" s="16"/>
      <c r="N15" s="4" t="s">
        <v>1381</v>
      </c>
      <c r="O15" s="4" t="s">
        <v>1378</v>
      </c>
      <c r="P15" s="4" t="s">
        <v>1379</v>
      </c>
      <c r="R15" s="4" t="s">
        <v>1626</v>
      </c>
    </row>
    <row r="16" spans="2:18" s="4" customFormat="1" x14ac:dyDescent="0.3">
      <c r="B16" s="238" t="s">
        <v>1115</v>
      </c>
      <c r="C16" s="233" t="s">
        <v>307</v>
      </c>
      <c r="D16" s="114">
        <f>[4]Hartismere!E16</f>
        <v>6038</v>
      </c>
      <c r="E16" s="114">
        <f>[5]Hartismere!D16</f>
        <v>1000</v>
      </c>
      <c r="F16" s="114">
        <f t="shared" si="0"/>
        <v>5038</v>
      </c>
      <c r="G16" s="320">
        <f t="shared" si="1"/>
        <v>0.1656</v>
      </c>
      <c r="H16" s="16"/>
      <c r="R16" s="4" t="s">
        <v>1626</v>
      </c>
    </row>
    <row r="17" spans="2:18" s="4" customFormat="1" x14ac:dyDescent="0.3">
      <c r="B17" s="238" t="s">
        <v>1116</v>
      </c>
      <c r="C17" s="233" t="s">
        <v>308</v>
      </c>
      <c r="D17" s="114">
        <f>[4]Hartismere!E17</f>
        <v>5434</v>
      </c>
      <c r="E17" s="114">
        <f>[5]Hartismere!D17</f>
        <v>800</v>
      </c>
      <c r="F17" s="114">
        <f t="shared" si="0"/>
        <v>4634</v>
      </c>
      <c r="G17" s="320">
        <f t="shared" si="1"/>
        <v>0.1472</v>
      </c>
      <c r="H17" s="16"/>
      <c r="N17" s="4" t="s">
        <v>1377</v>
      </c>
      <c r="O17" s="4" t="s">
        <v>1378</v>
      </c>
      <c r="R17" s="4" t="s">
        <v>1626</v>
      </c>
    </row>
    <row r="18" spans="2:18" s="4" customFormat="1" x14ac:dyDescent="0.3">
      <c r="B18" s="230" t="s">
        <v>1117</v>
      </c>
      <c r="C18" s="247" t="s">
        <v>309</v>
      </c>
      <c r="D18" s="145">
        <f>[4]Hartismere!E18</f>
        <v>13284</v>
      </c>
      <c r="E18" s="145">
        <f>[5]Hartismere!D18</f>
        <v>9784</v>
      </c>
      <c r="F18" s="145">
        <f t="shared" si="0"/>
        <v>3500</v>
      </c>
      <c r="G18" s="317">
        <f t="shared" si="1"/>
        <v>0.73650000000000004</v>
      </c>
      <c r="H18" s="16"/>
      <c r="N18" s="4" t="s">
        <v>1381</v>
      </c>
      <c r="O18" s="4" t="s">
        <v>1378</v>
      </c>
      <c r="P18" s="4" t="s">
        <v>1387</v>
      </c>
    </row>
    <row r="19" spans="2:18" s="3" customFormat="1" ht="14.5" thickBot="1" x14ac:dyDescent="0.35">
      <c r="B19" s="309" t="s">
        <v>865</v>
      </c>
      <c r="C19" s="310" t="s">
        <v>310</v>
      </c>
      <c r="D19" s="311">
        <f>SUM(D13:D18)</f>
        <v>60381</v>
      </c>
      <c r="E19" s="239">
        <f>SUM(E13:E18)</f>
        <v>17622</v>
      </c>
      <c r="F19" s="239">
        <f t="shared" si="0"/>
        <v>42759</v>
      </c>
      <c r="G19" s="227">
        <f t="shared" si="1"/>
        <v>0.2918</v>
      </c>
      <c r="H19" s="14">
        <f t="shared" si="2"/>
        <v>0.2918</v>
      </c>
    </row>
    <row r="20" spans="2:18" s="4" customFormat="1" x14ac:dyDescent="0.3">
      <c r="B20" s="244"/>
      <c r="C20" s="240"/>
      <c r="D20" s="314"/>
      <c r="E20" s="245"/>
      <c r="F20" s="245"/>
      <c r="G20" s="313"/>
      <c r="H20" s="16"/>
    </row>
    <row r="21" spans="2:18" s="3" customFormat="1" ht="14.5" thickBot="1" x14ac:dyDescent="0.35">
      <c r="B21" s="309" t="s">
        <v>1118</v>
      </c>
      <c r="C21" s="310" t="s">
        <v>546</v>
      </c>
      <c r="D21" s="311">
        <f>[4]Hartismere!$E$21</f>
        <v>63965</v>
      </c>
      <c r="E21" s="239">
        <f>[5]Hartismere!$D$21</f>
        <v>15965</v>
      </c>
      <c r="F21" s="239">
        <f>D21-E21</f>
        <v>48000</v>
      </c>
      <c r="G21" s="227">
        <f t="shared" si="1"/>
        <v>0.24959999999999999</v>
      </c>
      <c r="H21" s="14">
        <f t="shared" si="2"/>
        <v>0.24959999999999999</v>
      </c>
      <c r="R21" s="3">
        <v>10000</v>
      </c>
    </row>
    <row r="22" spans="2:18" s="4" customFormat="1" x14ac:dyDescent="0.3">
      <c r="B22" s="244"/>
      <c r="C22" s="240"/>
      <c r="D22" s="312"/>
      <c r="E22" s="245"/>
      <c r="F22" s="245"/>
      <c r="G22" s="313"/>
      <c r="H22" s="16"/>
    </row>
    <row r="23" spans="2:18" s="4" customFormat="1" x14ac:dyDescent="0.3">
      <c r="B23" s="238" t="s">
        <v>1119</v>
      </c>
      <c r="C23" s="233" t="s">
        <v>311</v>
      </c>
      <c r="D23" s="631">
        <f>[4]Hartismere!E23</f>
        <v>11497</v>
      </c>
      <c r="E23" s="114">
        <f>[5]Hartismere!D23</f>
        <v>7400</v>
      </c>
      <c r="F23" s="114">
        <f t="shared" ref="F23" si="3">D23-E23</f>
        <v>4097</v>
      </c>
      <c r="G23" s="320">
        <f t="shared" ref="G23" si="4">ROUND((E23/D23),4)</f>
        <v>0.64359999999999995</v>
      </c>
      <c r="H23" s="16"/>
      <c r="N23" s="4" t="s">
        <v>1381</v>
      </c>
      <c r="O23" s="4" t="s">
        <v>1382</v>
      </c>
      <c r="P23" s="4" t="s">
        <v>1379</v>
      </c>
    </row>
    <row r="24" spans="2:18" s="4" customFormat="1" x14ac:dyDescent="0.3">
      <c r="B24" s="238" t="s">
        <v>1120</v>
      </c>
      <c r="C24" s="233" t="s">
        <v>312</v>
      </c>
      <c r="D24" s="631">
        <f>[4]Hartismere!E24</f>
        <v>7617</v>
      </c>
      <c r="E24" s="114">
        <f>[5]Hartismere!D24</f>
        <v>750</v>
      </c>
      <c r="F24" s="114">
        <f t="shared" ref="F24:F30" si="5">D24-E24</f>
        <v>6867</v>
      </c>
      <c r="G24" s="320">
        <f t="shared" ref="G24:G30" si="6">ROUND((E24/D24),4)</f>
        <v>9.8500000000000004E-2</v>
      </c>
      <c r="H24" s="16"/>
      <c r="N24" s="4" t="s">
        <v>1381</v>
      </c>
      <c r="O24" s="4" t="s">
        <v>1382</v>
      </c>
      <c r="P24" s="4" t="s">
        <v>1379</v>
      </c>
    </row>
    <row r="25" spans="2:18" s="4" customFormat="1" x14ac:dyDescent="0.3">
      <c r="B25" s="238" t="s">
        <v>1121</v>
      </c>
      <c r="C25" s="233" t="s">
        <v>313</v>
      </c>
      <c r="D25" s="631">
        <f>[4]Hartismere!E25</f>
        <v>3941</v>
      </c>
      <c r="E25" s="114">
        <f>[5]Hartismere!D25</f>
        <v>150</v>
      </c>
      <c r="F25" s="114">
        <f t="shared" si="5"/>
        <v>3791</v>
      </c>
      <c r="G25" s="320">
        <f t="shared" si="6"/>
        <v>3.8100000000000002E-2</v>
      </c>
      <c r="H25" s="16"/>
      <c r="N25" s="4" t="s">
        <v>1381</v>
      </c>
      <c r="O25" s="4" t="s">
        <v>1382</v>
      </c>
      <c r="P25" s="4" t="s">
        <v>1379</v>
      </c>
    </row>
    <row r="26" spans="2:18" s="4" customFormat="1" x14ac:dyDescent="0.3">
      <c r="B26" s="238" t="s">
        <v>1122</v>
      </c>
      <c r="C26" s="233" t="s">
        <v>314</v>
      </c>
      <c r="D26" s="631">
        <f>[4]Hartismere!E26</f>
        <v>11294</v>
      </c>
      <c r="E26" s="114">
        <f>[5]Hartismere!D26</f>
        <v>5600</v>
      </c>
      <c r="F26" s="114">
        <f t="shared" si="5"/>
        <v>5694</v>
      </c>
      <c r="G26" s="320">
        <f t="shared" si="6"/>
        <v>0.49580000000000002</v>
      </c>
      <c r="H26" s="16"/>
      <c r="N26" s="4" t="s">
        <v>1381</v>
      </c>
      <c r="O26" s="4" t="s">
        <v>1382</v>
      </c>
      <c r="P26" s="4" t="s">
        <v>1379</v>
      </c>
    </row>
    <row r="27" spans="2:18" s="4" customFormat="1" x14ac:dyDescent="0.3">
      <c r="B27" s="238" t="s">
        <v>1123</v>
      </c>
      <c r="C27" s="233" t="s">
        <v>315</v>
      </c>
      <c r="D27" s="631">
        <f>[4]Hartismere!E27</f>
        <v>4371</v>
      </c>
      <c r="E27" s="114">
        <f>[5]Hartismere!D27</f>
        <v>750</v>
      </c>
      <c r="F27" s="114">
        <f t="shared" si="5"/>
        <v>3621</v>
      </c>
      <c r="G27" s="320">
        <f t="shared" si="6"/>
        <v>0.1716</v>
      </c>
      <c r="H27" s="16"/>
      <c r="N27" s="4" t="s">
        <v>1381</v>
      </c>
      <c r="O27" s="4" t="s">
        <v>1382</v>
      </c>
      <c r="P27" s="4" t="s">
        <v>1379</v>
      </c>
      <c r="R27" s="4">
        <v>1363</v>
      </c>
    </row>
    <row r="28" spans="2:18" s="4" customFormat="1" x14ac:dyDescent="0.3">
      <c r="B28" s="238" t="s">
        <v>1124</v>
      </c>
      <c r="C28" s="233" t="s">
        <v>545</v>
      </c>
      <c r="D28" s="631">
        <f>[4]Hartismere!E28</f>
        <v>6685</v>
      </c>
      <c r="E28" s="114">
        <f>[5]Hartismere!D28</f>
        <v>3000</v>
      </c>
      <c r="F28" s="114">
        <f t="shared" si="5"/>
        <v>3685</v>
      </c>
      <c r="G28" s="320">
        <f t="shared" si="6"/>
        <v>0.44879999999999998</v>
      </c>
      <c r="H28" s="16"/>
      <c r="N28" s="4" t="s">
        <v>1381</v>
      </c>
      <c r="O28" s="4" t="s">
        <v>1378</v>
      </c>
    </row>
    <row r="29" spans="2:18" s="4" customFormat="1" x14ac:dyDescent="0.3">
      <c r="B29" s="238" t="s">
        <v>1125</v>
      </c>
      <c r="C29" s="233" t="s">
        <v>316</v>
      </c>
      <c r="D29" s="631">
        <f>[4]Hartismere!E29</f>
        <v>9129</v>
      </c>
      <c r="E29" s="114">
        <f>[5]Hartismere!D29</f>
        <v>3500</v>
      </c>
      <c r="F29" s="114">
        <f t="shared" si="5"/>
        <v>5629</v>
      </c>
      <c r="G29" s="320">
        <f t="shared" si="6"/>
        <v>0.38340000000000002</v>
      </c>
      <c r="H29" s="16"/>
      <c r="N29" s="4" t="s">
        <v>1381</v>
      </c>
      <c r="O29" s="4" t="s">
        <v>1378</v>
      </c>
      <c r="P29" s="4" t="s">
        <v>1380</v>
      </c>
    </row>
    <row r="30" spans="2:18" s="4" customFormat="1" x14ac:dyDescent="0.3">
      <c r="B30" s="230" t="s">
        <v>1126</v>
      </c>
      <c r="C30" s="247" t="s">
        <v>317</v>
      </c>
      <c r="D30" s="145">
        <f>[4]Hartismere!E30</f>
        <v>4905</v>
      </c>
      <c r="E30" s="145">
        <f>[5]Hartismere!D30</f>
        <v>700</v>
      </c>
      <c r="F30" s="145">
        <f t="shared" si="5"/>
        <v>4205</v>
      </c>
      <c r="G30" s="317">
        <f t="shared" si="6"/>
        <v>0.14269999999999999</v>
      </c>
      <c r="H30" s="16"/>
      <c r="N30" s="4" t="s">
        <v>1381</v>
      </c>
      <c r="O30" s="4" t="s">
        <v>1382</v>
      </c>
      <c r="P30" s="4" t="s">
        <v>1379</v>
      </c>
      <c r="R30" s="4">
        <v>3135</v>
      </c>
    </row>
    <row r="31" spans="2:18" s="3" customFormat="1" ht="14.5" thickBot="1" x14ac:dyDescent="0.35">
      <c r="B31" s="153" t="s">
        <v>1127</v>
      </c>
      <c r="C31" s="154" t="s">
        <v>318</v>
      </c>
      <c r="D31" s="163">
        <f>SUM(D23:D30)</f>
        <v>59439</v>
      </c>
      <c r="E31" s="155">
        <f>SUM(E23:E30)</f>
        <v>21850</v>
      </c>
      <c r="F31" s="155">
        <f t="shared" si="0"/>
        <v>37589</v>
      </c>
      <c r="G31" s="166">
        <f t="shared" si="1"/>
        <v>0.36759999999999998</v>
      </c>
      <c r="H31" s="14">
        <f t="shared" si="2"/>
        <v>0.36759999999999998</v>
      </c>
      <c r="R31" s="3">
        <f>SUM(R21:R30)</f>
        <v>14498</v>
      </c>
    </row>
    <row r="32" spans="2:18" s="4" customFormat="1" x14ac:dyDescent="0.3">
      <c r="B32" s="127"/>
      <c r="C32" s="143"/>
      <c r="D32" s="161"/>
      <c r="E32" s="144"/>
      <c r="F32" s="144"/>
      <c r="G32" s="167"/>
    </row>
    <row r="33" spans="2:7" s="3" customFormat="1" ht="14.5" thickBot="1" x14ac:dyDescent="0.35">
      <c r="B33" s="153"/>
      <c r="C33" s="154" t="s">
        <v>58</v>
      </c>
      <c r="D33" s="163">
        <f>SUM(D11,D21,D19,D31)</f>
        <v>250080</v>
      </c>
      <c r="E33" s="155">
        <f>SUM(E11,E21,E19,E31)</f>
        <v>66937</v>
      </c>
      <c r="F33" s="155">
        <f t="shared" si="0"/>
        <v>183143</v>
      </c>
      <c r="G33" s="166">
        <f t="shared" si="1"/>
        <v>0.26769999999999999</v>
      </c>
    </row>
    <row r="34" spans="2:7" s="4" customFormat="1" x14ac:dyDescent="0.3">
      <c r="B34" s="127"/>
      <c r="C34" s="97"/>
      <c r="D34" s="21"/>
      <c r="E34" s="112"/>
      <c r="F34" s="111"/>
      <c r="G34" s="165"/>
    </row>
    <row r="35" spans="2:7" s="4" customFormat="1" ht="14.5" thickBot="1" x14ac:dyDescent="0.35">
      <c r="B35" s="147"/>
      <c r="C35" s="99" t="s">
        <v>1630</v>
      </c>
      <c r="D35" s="110">
        <f>[7]Hartismere!$D$33</f>
        <v>239020</v>
      </c>
      <c r="E35" s="19">
        <v>102901</v>
      </c>
      <c r="F35" s="110">
        <f>D35-E35</f>
        <v>136119</v>
      </c>
      <c r="G35" s="125">
        <f>E35/D35</f>
        <v>0.43051209103840682</v>
      </c>
    </row>
    <row r="36" spans="2:7" s="4" customFormat="1" x14ac:dyDescent="0.3">
      <c r="D36" s="5"/>
      <c r="E36" s="5"/>
      <c r="F36" s="5"/>
      <c r="G36" s="9"/>
    </row>
    <row r="37" spans="2:7" s="4" customFormat="1" x14ac:dyDescent="0.3">
      <c r="D37" s="5"/>
      <c r="E37" s="5"/>
      <c r="F37" s="5"/>
      <c r="G37" s="9"/>
    </row>
    <row r="38" spans="2:7" s="4" customFormat="1" x14ac:dyDescent="0.3">
      <c r="D38" s="5"/>
      <c r="E38" s="5"/>
      <c r="F38" s="5"/>
      <c r="G38" s="9"/>
    </row>
    <row r="39" spans="2:7" s="4" customFormat="1" x14ac:dyDescent="0.3">
      <c r="D39" s="5"/>
      <c r="E39" s="5"/>
      <c r="F39" s="5"/>
      <c r="G39" s="9"/>
    </row>
    <row r="40" spans="2:7" s="4" customFormat="1" x14ac:dyDescent="0.3">
      <c r="D40" s="5"/>
      <c r="E40" s="5"/>
      <c r="F40" s="5"/>
      <c r="G40" s="9"/>
    </row>
    <row r="41" spans="2:7" s="4" customFormat="1" x14ac:dyDescent="0.3">
      <c r="D41" s="5"/>
      <c r="E41" s="5"/>
      <c r="F41" s="5"/>
      <c r="G41" s="9"/>
    </row>
    <row r="42" spans="2:7" s="4" customFormat="1" x14ac:dyDescent="0.3">
      <c r="D42" s="5"/>
      <c r="E42" s="5"/>
      <c r="F42" s="5"/>
      <c r="G42" s="9"/>
    </row>
    <row r="43" spans="2:7" s="4" customFormat="1" x14ac:dyDescent="0.3">
      <c r="D43" s="5"/>
      <c r="E43" s="5"/>
      <c r="F43" s="5"/>
      <c r="G43" s="9"/>
    </row>
    <row r="44" spans="2:7" s="4" customFormat="1" x14ac:dyDescent="0.3">
      <c r="G44" s="9"/>
    </row>
    <row r="45" spans="2:7" s="4" customFormat="1" x14ac:dyDescent="0.3">
      <c r="G45" s="9"/>
    </row>
    <row r="46" spans="2:7" s="4" customFormat="1" x14ac:dyDescent="0.3">
      <c r="G46" s="9"/>
    </row>
    <row r="47" spans="2:7" s="4" customFormat="1" x14ac:dyDescent="0.3">
      <c r="G47" s="9"/>
    </row>
    <row r="48" spans="2:7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&amp;L&amp;D&amp;R&amp;Z&amp;F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0"/>
  <sheetViews>
    <sheetView topLeftCell="A28" zoomScaleNormal="100" workbookViewId="0">
      <selection activeCell="F39" sqref="F39"/>
    </sheetView>
  </sheetViews>
  <sheetFormatPr defaultRowHeight="14" x14ac:dyDescent="0.3"/>
  <cols>
    <col min="1" max="1" width="9" style="24"/>
    <col min="2" max="2" width="11.33203125" style="24" bestFit="1" customWidth="1"/>
    <col min="3" max="3" width="39.5" customWidth="1"/>
    <col min="4" max="6" width="12" bestFit="1" customWidth="1"/>
    <col min="7" max="7" width="12.5" style="8" bestFit="1" customWidth="1"/>
    <col min="8" max="10" width="9" hidden="1" customWidth="1"/>
    <col min="11" max="11" width="19.25" hidden="1" customWidth="1"/>
    <col min="12" max="12" width="9" hidden="1" customWidth="1"/>
    <col min="13" max="13" width="2.58203125" hidden="1" customWidth="1"/>
    <col min="14" max="14" width="16.75" hidden="1" customWidth="1"/>
    <col min="15" max="15" width="15.5" hidden="1" customWidth="1"/>
    <col min="16" max="16" width="13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COUNTIF(H8:H49,"&gt;1")</f>
        <v>0</v>
      </c>
    </row>
    <row r="4" spans="2:16" s="3" customFormat="1" ht="18" thickBot="1" x14ac:dyDescent="0.4">
      <c r="B4" s="120"/>
      <c r="C4" s="102" t="s">
        <v>319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COUNTIF(H8:H49,1)</f>
        <v>0</v>
      </c>
    </row>
    <row r="5" spans="2:16" s="3" customFormat="1" ht="14.5" thickBot="1" x14ac:dyDescent="0.35">
      <c r="B5" s="118"/>
      <c r="C5" s="91"/>
      <c r="D5" s="91"/>
      <c r="E5" s="91"/>
      <c r="F5" s="91"/>
      <c r="G5" s="119"/>
      <c r="J5" s="13"/>
      <c r="K5" s="24" t="s">
        <v>1551</v>
      </c>
      <c r="L5" s="13">
        <f>COUNTIFS(H8:H49,"&gt;="&amp;Target,H8:H49,"&lt;"&amp;1)</f>
        <v>0</v>
      </c>
    </row>
    <row r="6" spans="2:16" s="3" customFormat="1" ht="14.5" thickBot="1" x14ac:dyDescent="0.35">
      <c r="B6" s="141" t="s">
        <v>612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564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1128</v>
      </c>
      <c r="C8" s="233" t="s">
        <v>320</v>
      </c>
      <c r="D8" s="114">
        <f>[4]Hoxne!E8</f>
        <v>1302</v>
      </c>
      <c r="E8" s="114">
        <f>[5]Hoxne!D8</f>
        <v>200</v>
      </c>
      <c r="F8" s="114">
        <f>D8-E8</f>
        <v>1102</v>
      </c>
      <c r="G8" s="243">
        <f>ROUND((E8/D8),4)</f>
        <v>0.15359999999999999</v>
      </c>
      <c r="H8" s="16"/>
      <c r="J8" s="13"/>
      <c r="K8" s="13"/>
      <c r="L8" s="20">
        <f>SUM(L3:L7)</f>
        <v>3</v>
      </c>
      <c r="N8" s="4" t="s">
        <v>1377</v>
      </c>
      <c r="O8" s="4" t="s">
        <v>1378</v>
      </c>
      <c r="P8" s="4" t="s">
        <v>1380</v>
      </c>
    </row>
    <row r="9" spans="2:16" s="4" customFormat="1" x14ac:dyDescent="0.3">
      <c r="B9" s="238" t="s">
        <v>1129</v>
      </c>
      <c r="C9" s="233" t="s">
        <v>321</v>
      </c>
      <c r="D9" s="114">
        <f>[4]Hoxne!E9</f>
        <v>5054</v>
      </c>
      <c r="E9" s="114">
        <f>[5]Hoxne!D9</f>
        <v>2100</v>
      </c>
      <c r="F9" s="114">
        <f t="shared" ref="F9:F35" si="0">D9-E9</f>
        <v>2954</v>
      </c>
      <c r="G9" s="243">
        <f t="shared" ref="G9:G37" si="1">ROUND((E9/D9),4)</f>
        <v>0.41549999999999998</v>
      </c>
      <c r="H9" s="16"/>
      <c r="J9" s="13"/>
    </row>
    <row r="10" spans="2:16" s="4" customFormat="1" x14ac:dyDescent="0.3">
      <c r="B10" s="238" t="s">
        <v>1130</v>
      </c>
      <c r="C10" s="233" t="s">
        <v>322</v>
      </c>
      <c r="D10" s="114">
        <f>[4]Hoxne!E10</f>
        <v>8922</v>
      </c>
      <c r="E10" s="114">
        <f>[5]Hoxne!D10</f>
        <v>1000</v>
      </c>
      <c r="F10" s="114">
        <f t="shared" si="0"/>
        <v>7922</v>
      </c>
      <c r="G10" s="243">
        <f t="shared" si="1"/>
        <v>0.11210000000000001</v>
      </c>
      <c r="H10" s="16"/>
      <c r="K10" s="13"/>
      <c r="L10" s="13"/>
      <c r="N10" s="4" t="s">
        <v>1377</v>
      </c>
      <c r="O10" s="4" t="s">
        <v>1378</v>
      </c>
    </row>
    <row r="11" spans="2:16" s="4" customFormat="1" x14ac:dyDescent="0.3">
      <c r="B11" s="238" t="s">
        <v>1131</v>
      </c>
      <c r="C11" s="233" t="s">
        <v>17</v>
      </c>
      <c r="D11" s="114">
        <f>[4]Hoxne!E11</f>
        <v>23632</v>
      </c>
      <c r="E11" s="114">
        <f>[5]Hoxne!D11</f>
        <v>0</v>
      </c>
      <c r="F11" s="114">
        <f t="shared" si="0"/>
        <v>23632</v>
      </c>
      <c r="G11" s="243">
        <f t="shared" si="1"/>
        <v>0</v>
      </c>
      <c r="H11" s="16"/>
      <c r="K11" s="13"/>
      <c r="L11" s="13"/>
      <c r="N11" s="4" t="s">
        <v>1377</v>
      </c>
      <c r="O11" s="4" t="s">
        <v>1378</v>
      </c>
      <c r="P11" s="4" t="s">
        <v>1380</v>
      </c>
    </row>
    <row r="12" spans="2:16" s="4" customFormat="1" x14ac:dyDescent="0.3">
      <c r="B12" s="238" t="s">
        <v>1132</v>
      </c>
      <c r="C12" s="233" t="s">
        <v>323</v>
      </c>
      <c r="D12" s="114">
        <f>[4]Hoxne!E12</f>
        <v>2438</v>
      </c>
      <c r="E12" s="114">
        <f>[5]Hoxne!D12</f>
        <v>2438</v>
      </c>
      <c r="F12" s="114">
        <f t="shared" si="0"/>
        <v>0</v>
      </c>
      <c r="G12" s="243">
        <f t="shared" si="1"/>
        <v>1</v>
      </c>
      <c r="H12" s="16"/>
    </row>
    <row r="13" spans="2:16" s="4" customFormat="1" x14ac:dyDescent="0.3">
      <c r="B13" s="238" t="s">
        <v>1133</v>
      </c>
      <c r="C13" s="233" t="s">
        <v>324</v>
      </c>
      <c r="D13" s="114">
        <f>[4]Hoxne!E13</f>
        <v>5861</v>
      </c>
      <c r="E13" s="114">
        <f>[5]Hoxne!D13</f>
        <v>3423</v>
      </c>
      <c r="F13" s="114">
        <f t="shared" si="0"/>
        <v>2438</v>
      </c>
      <c r="G13" s="243">
        <f t="shared" si="1"/>
        <v>0.58399999999999996</v>
      </c>
      <c r="H13" s="16"/>
      <c r="N13" s="4" t="s">
        <v>1381</v>
      </c>
      <c r="O13" s="4" t="s">
        <v>1382</v>
      </c>
      <c r="P13" s="4" t="s">
        <v>1379</v>
      </c>
    </row>
    <row r="14" spans="2:16" s="4" customFormat="1" x14ac:dyDescent="0.3">
      <c r="B14" s="238" t="s">
        <v>1134</v>
      </c>
      <c r="C14" s="233" t="s">
        <v>325</v>
      </c>
      <c r="D14" s="114">
        <f>[4]Hoxne!E14</f>
        <v>8449</v>
      </c>
      <c r="E14" s="114">
        <f>[5]Hoxne!D14</f>
        <v>2405</v>
      </c>
      <c r="F14" s="114">
        <f t="shared" si="0"/>
        <v>6044</v>
      </c>
      <c r="G14" s="243">
        <f t="shared" si="1"/>
        <v>0.28460000000000002</v>
      </c>
      <c r="H14" s="16"/>
      <c r="N14" s="4" t="s">
        <v>1377</v>
      </c>
      <c r="O14" s="4" t="s">
        <v>1378</v>
      </c>
      <c r="P14" s="4" t="s">
        <v>1383</v>
      </c>
    </row>
    <row r="15" spans="2:16" s="4" customFormat="1" x14ac:dyDescent="0.3">
      <c r="B15" s="230"/>
      <c r="C15" s="247" t="s">
        <v>542</v>
      </c>
      <c r="D15" s="145">
        <f>[4]Hoxne!E15</f>
        <v>8865</v>
      </c>
      <c r="E15" s="145">
        <f>[5]Hoxne!D15</f>
        <v>99</v>
      </c>
      <c r="F15" s="145">
        <f t="shared" si="0"/>
        <v>8766</v>
      </c>
      <c r="G15" s="188">
        <f t="shared" si="1"/>
        <v>1.12E-2</v>
      </c>
      <c r="H15" s="16"/>
    </row>
    <row r="16" spans="2:16" s="11" customFormat="1" ht="28.5" thickBot="1" x14ac:dyDescent="0.35">
      <c r="B16" s="309" t="s">
        <v>1135</v>
      </c>
      <c r="C16" s="310" t="s">
        <v>326</v>
      </c>
      <c r="D16" s="239">
        <f>SUM(D8:D15)</f>
        <v>64523</v>
      </c>
      <c r="E16" s="239">
        <f>SUM(E8:E15)</f>
        <v>11665</v>
      </c>
      <c r="F16" s="239">
        <f t="shared" si="0"/>
        <v>52858</v>
      </c>
      <c r="G16" s="229">
        <f t="shared" si="1"/>
        <v>0.18079999999999999</v>
      </c>
      <c r="H16" s="17">
        <f t="shared" ref="H16:H35" si="2">G16</f>
        <v>0.18079999999999999</v>
      </c>
    </row>
    <row r="17" spans="2:16" s="4" customFormat="1" x14ac:dyDescent="0.3">
      <c r="B17" s="244"/>
      <c r="C17" s="240"/>
      <c r="D17" s="245"/>
      <c r="E17" s="245"/>
      <c r="F17" s="245"/>
      <c r="G17" s="246"/>
      <c r="H17" s="16"/>
    </row>
    <row r="18" spans="2:16" s="4" customFormat="1" x14ac:dyDescent="0.3">
      <c r="B18" s="238" t="s">
        <v>1136</v>
      </c>
      <c r="C18" s="233" t="s">
        <v>327</v>
      </c>
      <c r="D18" s="114">
        <f>[4]Hoxne!E18</f>
        <v>7403</v>
      </c>
      <c r="E18" s="114">
        <f>[5]Hoxne!D18</f>
        <v>2000</v>
      </c>
      <c r="F18" s="114">
        <f t="shared" ref="F18:F25" si="3">D18-E18</f>
        <v>5403</v>
      </c>
      <c r="G18" s="243">
        <f t="shared" ref="G18:G25" si="4">ROUND((E18/D18),4)</f>
        <v>0.2702</v>
      </c>
      <c r="H18" s="16"/>
      <c r="N18" s="4" t="s">
        <v>1384</v>
      </c>
      <c r="O18" s="4" t="s">
        <v>1378</v>
      </c>
      <c r="P18" s="4" t="s">
        <v>1380</v>
      </c>
    </row>
    <row r="19" spans="2:16" s="4" customFormat="1" x14ac:dyDescent="0.3">
      <c r="B19" s="238" t="s">
        <v>1137</v>
      </c>
      <c r="C19" s="233" t="s">
        <v>328</v>
      </c>
      <c r="D19" s="114">
        <f>[4]Hoxne!E19</f>
        <v>5113</v>
      </c>
      <c r="E19" s="114">
        <f>[5]Hoxne!D19</f>
        <v>0</v>
      </c>
      <c r="F19" s="114">
        <f t="shared" si="3"/>
        <v>5113</v>
      </c>
      <c r="G19" s="243">
        <f t="shared" si="4"/>
        <v>0</v>
      </c>
      <c r="H19" s="16"/>
    </row>
    <row r="20" spans="2:16" s="4" customFormat="1" x14ac:dyDescent="0.3">
      <c r="B20" s="238" t="s">
        <v>1138</v>
      </c>
      <c r="C20" s="233" t="s">
        <v>329</v>
      </c>
      <c r="D20" s="114">
        <f>[4]Hoxne!E20</f>
        <v>9044</v>
      </c>
      <c r="E20" s="114">
        <f>[5]Hoxne!D20</f>
        <v>2100</v>
      </c>
      <c r="F20" s="114">
        <f t="shared" si="3"/>
        <v>6944</v>
      </c>
      <c r="G20" s="243">
        <f t="shared" si="4"/>
        <v>0.23219999999999999</v>
      </c>
      <c r="H20" s="16"/>
      <c r="N20" s="4" t="s">
        <v>1384</v>
      </c>
      <c r="O20" s="4" t="s">
        <v>1382</v>
      </c>
      <c r="P20" s="4" t="s">
        <v>1379</v>
      </c>
    </row>
    <row r="21" spans="2:16" s="4" customFormat="1" x14ac:dyDescent="0.3">
      <c r="B21" s="238" t="s">
        <v>1139</v>
      </c>
      <c r="C21" s="233" t="s">
        <v>330</v>
      </c>
      <c r="D21" s="114">
        <f>[4]Hoxne!E21</f>
        <v>20323</v>
      </c>
      <c r="E21" s="114">
        <f>[5]Hoxne!D21</f>
        <v>7000</v>
      </c>
      <c r="F21" s="114">
        <f t="shared" si="3"/>
        <v>13323</v>
      </c>
      <c r="G21" s="243">
        <f t="shared" si="4"/>
        <v>0.34439999999999998</v>
      </c>
      <c r="H21" s="16"/>
      <c r="N21" s="4" t="s">
        <v>1381</v>
      </c>
      <c r="O21" s="4" t="s">
        <v>1378</v>
      </c>
    </row>
    <row r="22" spans="2:16" s="4" customFormat="1" x14ac:dyDescent="0.3">
      <c r="B22" s="238" t="s">
        <v>1140</v>
      </c>
      <c r="C22" s="233" t="s">
        <v>331</v>
      </c>
      <c r="D22" s="114">
        <f>[4]Hoxne!E22</f>
        <v>3452</v>
      </c>
      <c r="E22" s="114">
        <f>[5]Hoxne!D22</f>
        <v>1000</v>
      </c>
      <c r="F22" s="114">
        <f t="shared" si="3"/>
        <v>2452</v>
      </c>
      <c r="G22" s="243">
        <f t="shared" si="4"/>
        <v>0.28970000000000001</v>
      </c>
      <c r="H22" s="16"/>
    </row>
    <row r="23" spans="2:16" s="4" customFormat="1" x14ac:dyDescent="0.3">
      <c r="B23" s="238" t="s">
        <v>1141</v>
      </c>
      <c r="C23" s="233" t="s">
        <v>332</v>
      </c>
      <c r="D23" s="114">
        <f>[4]Hoxne!E23</f>
        <v>2550</v>
      </c>
      <c r="E23" s="114">
        <f>[5]Hoxne!D23</f>
        <v>0</v>
      </c>
      <c r="F23" s="114">
        <f t="shared" si="3"/>
        <v>2550</v>
      </c>
      <c r="G23" s="243">
        <f t="shared" si="4"/>
        <v>0</v>
      </c>
      <c r="H23" s="16"/>
      <c r="N23" s="4" t="s">
        <v>1377</v>
      </c>
      <c r="O23" s="4" t="s">
        <v>1378</v>
      </c>
      <c r="P23" s="4" t="s">
        <v>1385</v>
      </c>
    </row>
    <row r="24" spans="2:16" s="4" customFormat="1" x14ac:dyDescent="0.3">
      <c r="B24" s="238" t="s">
        <v>1142</v>
      </c>
      <c r="C24" s="233" t="s">
        <v>333</v>
      </c>
      <c r="D24" s="114">
        <f>[4]Hoxne!E24</f>
        <v>7636</v>
      </c>
      <c r="E24" s="114">
        <f>[5]Hoxne!D24</f>
        <v>4461</v>
      </c>
      <c r="F24" s="114">
        <f t="shared" si="3"/>
        <v>3175</v>
      </c>
      <c r="G24" s="243">
        <f t="shared" si="4"/>
        <v>0.58420000000000005</v>
      </c>
      <c r="H24" s="16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0" t="s">
        <v>1351</v>
      </c>
      <c r="C25" s="247" t="s">
        <v>334</v>
      </c>
      <c r="D25" s="114">
        <f>[4]Hoxne!E25</f>
        <v>12838</v>
      </c>
      <c r="E25" s="114">
        <f>[5]Hoxne!D25</f>
        <v>0</v>
      </c>
      <c r="F25" s="145">
        <f t="shared" si="3"/>
        <v>12838</v>
      </c>
      <c r="G25" s="188">
        <f t="shared" si="4"/>
        <v>0</v>
      </c>
      <c r="H25" s="16"/>
      <c r="N25" s="4" t="s">
        <v>1377</v>
      </c>
      <c r="O25" s="4" t="s">
        <v>1378</v>
      </c>
    </row>
    <row r="26" spans="2:16" s="3" customFormat="1" ht="14.5" thickBot="1" x14ac:dyDescent="0.35">
      <c r="B26" s="222" t="s">
        <v>1143</v>
      </c>
      <c r="C26" s="226" t="s">
        <v>335</v>
      </c>
      <c r="D26" s="109">
        <f>SUM(D18:D25)</f>
        <v>68359</v>
      </c>
      <c r="E26" s="109">
        <f>SUM(E18:E25)</f>
        <v>16561</v>
      </c>
      <c r="F26" s="109">
        <f t="shared" si="0"/>
        <v>51798</v>
      </c>
      <c r="G26" s="229">
        <f t="shared" si="1"/>
        <v>0.24229999999999999</v>
      </c>
      <c r="H26" s="14">
        <f t="shared" si="2"/>
        <v>0.24229999999999999</v>
      </c>
    </row>
    <row r="27" spans="2:16" s="4" customFormat="1" ht="14.25" customHeight="1" x14ac:dyDescent="0.3">
      <c r="B27" s="244"/>
      <c r="C27" s="240"/>
      <c r="D27" s="245"/>
      <c r="E27" s="245"/>
      <c r="F27" s="245"/>
      <c r="G27" s="246"/>
      <c r="H27" s="16"/>
    </row>
    <row r="28" spans="2:16" s="4" customFormat="1" x14ac:dyDescent="0.3">
      <c r="B28" s="238" t="s">
        <v>1144</v>
      </c>
      <c r="C28" s="233" t="s">
        <v>336</v>
      </c>
      <c r="D28" s="114">
        <f>[4]Hoxne!E28</f>
        <v>29700</v>
      </c>
      <c r="E28" s="114">
        <f>[5]Hoxne!D28</f>
        <v>5000</v>
      </c>
      <c r="F28" s="114">
        <f t="shared" si="0"/>
        <v>24700</v>
      </c>
      <c r="G28" s="243">
        <f t="shared" si="1"/>
        <v>0.16839999999999999</v>
      </c>
      <c r="H28" s="16"/>
      <c r="N28" s="4" t="s">
        <v>1377</v>
      </c>
      <c r="O28" s="4" t="s">
        <v>1378</v>
      </c>
      <c r="P28" s="4" t="s">
        <v>1379</v>
      </c>
    </row>
    <row r="29" spans="2:16" s="4" customFormat="1" x14ac:dyDescent="0.3">
      <c r="B29" s="238" t="s">
        <v>1145</v>
      </c>
      <c r="C29" s="233" t="s">
        <v>337</v>
      </c>
      <c r="D29" s="114">
        <f>[4]Hoxne!E29</f>
        <v>10500</v>
      </c>
      <c r="E29" s="114">
        <f>[5]Hoxne!D29</f>
        <v>10500</v>
      </c>
      <c r="F29" s="114">
        <f t="shared" si="0"/>
        <v>0</v>
      </c>
      <c r="G29" s="243">
        <f t="shared" si="1"/>
        <v>1</v>
      </c>
      <c r="H29" s="16"/>
      <c r="N29" s="4" t="s">
        <v>1377</v>
      </c>
      <c r="O29" s="4" t="s">
        <v>1378</v>
      </c>
    </row>
    <row r="30" spans="2:16" s="4" customFormat="1" x14ac:dyDescent="0.3">
      <c r="B30" s="238" t="s">
        <v>1146</v>
      </c>
      <c r="C30" s="233" t="s">
        <v>338</v>
      </c>
      <c r="D30" s="114">
        <f>[4]Hoxne!E30</f>
        <v>10500</v>
      </c>
      <c r="E30" s="114">
        <f>[5]Hoxne!D30</f>
        <v>6000</v>
      </c>
      <c r="F30" s="114">
        <f t="shared" si="0"/>
        <v>4500</v>
      </c>
      <c r="G30" s="243">
        <f t="shared" si="1"/>
        <v>0.57140000000000002</v>
      </c>
      <c r="H30" s="16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1147</v>
      </c>
      <c r="C31" s="233" t="s">
        <v>339</v>
      </c>
      <c r="D31" s="114">
        <f>[4]Hoxne!E31</f>
        <v>10600</v>
      </c>
      <c r="E31" s="114">
        <f>[5]Hoxne!D31</f>
        <v>1000</v>
      </c>
      <c r="F31" s="114">
        <f t="shared" si="0"/>
        <v>9600</v>
      </c>
      <c r="G31" s="243">
        <f t="shared" si="1"/>
        <v>9.4299999999999995E-2</v>
      </c>
      <c r="H31" s="16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1148</v>
      </c>
      <c r="C32" s="233" t="s">
        <v>340</v>
      </c>
      <c r="D32" s="114">
        <f>[4]Hoxne!E32</f>
        <v>3600</v>
      </c>
      <c r="E32" s="114">
        <f>[5]Hoxne!D32</f>
        <v>3000</v>
      </c>
      <c r="F32" s="114">
        <f t="shared" si="0"/>
        <v>600</v>
      </c>
      <c r="G32" s="243">
        <f t="shared" si="1"/>
        <v>0.83330000000000004</v>
      </c>
      <c r="H32" s="16"/>
      <c r="N32" s="4" t="s">
        <v>1377</v>
      </c>
      <c r="O32" s="4" t="s">
        <v>1378</v>
      </c>
      <c r="P32" s="4" t="s">
        <v>1380</v>
      </c>
    </row>
    <row r="33" spans="2:16" s="4" customFormat="1" x14ac:dyDescent="0.3">
      <c r="B33" s="238" t="s">
        <v>1149</v>
      </c>
      <c r="C33" s="233" t="s">
        <v>341</v>
      </c>
      <c r="D33" s="114">
        <f>[4]Hoxne!E33</f>
        <v>5000</v>
      </c>
      <c r="E33" s="114">
        <f>[5]Hoxne!D33</f>
        <v>3000</v>
      </c>
      <c r="F33" s="114">
        <f t="shared" si="0"/>
        <v>2000</v>
      </c>
      <c r="G33" s="243">
        <f t="shared" si="1"/>
        <v>0.6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/>
      <c r="C34" s="233" t="s">
        <v>1632</v>
      </c>
      <c r="D34" s="114">
        <f>[4]Hoxne!E34</f>
        <v>-72</v>
      </c>
      <c r="E34" s="114"/>
      <c r="F34" s="114"/>
      <c r="G34" s="243"/>
      <c r="H34" s="16"/>
    </row>
    <row r="35" spans="2:16" s="3" customFormat="1" ht="14.5" thickBot="1" x14ac:dyDescent="0.35">
      <c r="B35" s="124" t="s">
        <v>1150</v>
      </c>
      <c r="C35" s="99" t="s">
        <v>342</v>
      </c>
      <c r="D35" s="110">
        <f>SUM(D28:D34)</f>
        <v>69828</v>
      </c>
      <c r="E35" s="110">
        <f>SUM(E28:E33)</f>
        <v>28500</v>
      </c>
      <c r="F35" s="110">
        <f t="shared" si="0"/>
        <v>41328</v>
      </c>
      <c r="G35" s="137">
        <f t="shared" si="1"/>
        <v>0.40810000000000002</v>
      </c>
      <c r="H35" s="14">
        <f t="shared" si="2"/>
        <v>0.40810000000000002</v>
      </c>
    </row>
    <row r="36" spans="2:16" s="4" customFormat="1" x14ac:dyDescent="0.3">
      <c r="B36" s="126"/>
      <c r="C36" s="97"/>
      <c r="D36" s="111"/>
      <c r="E36" s="111"/>
      <c r="F36" s="111"/>
      <c r="G36" s="146"/>
    </row>
    <row r="37" spans="2:16" s="3" customFormat="1" ht="14.5" thickBot="1" x14ac:dyDescent="0.35">
      <c r="B37" s="124"/>
      <c r="C37" s="99" t="s">
        <v>58</v>
      </c>
      <c r="D37" s="110">
        <f>SUM(D16,D26,D35)</f>
        <v>202710</v>
      </c>
      <c r="E37" s="110">
        <f>SUM(E16,E26,E35)</f>
        <v>56726</v>
      </c>
      <c r="F37" s="110">
        <f>D37-E37</f>
        <v>145984</v>
      </c>
      <c r="G37" s="136">
        <f t="shared" si="1"/>
        <v>0.27979999999999999</v>
      </c>
    </row>
    <row r="38" spans="2:16" s="4" customFormat="1" x14ac:dyDescent="0.3">
      <c r="B38" s="126"/>
      <c r="C38" s="97"/>
      <c r="D38" s="151"/>
      <c r="E38" s="151"/>
      <c r="F38" s="151"/>
      <c r="G38" s="140"/>
    </row>
    <row r="39" spans="2:16" s="4" customFormat="1" ht="14.5" thickBot="1" x14ac:dyDescent="0.35">
      <c r="B39" s="124"/>
      <c r="C39" s="99" t="s">
        <v>1630</v>
      </c>
      <c r="D39" s="152">
        <f>[7]Hoxne!$D$36</f>
        <v>194209</v>
      </c>
      <c r="E39" s="152">
        <v>87474</v>
      </c>
      <c r="F39" s="152">
        <f>D39-E39</f>
        <v>106735</v>
      </c>
      <c r="G39" s="136">
        <f>E39/D39</f>
        <v>0.45041166990201276</v>
      </c>
    </row>
    <row r="40" spans="2:16" s="4" customFormat="1" x14ac:dyDescent="0.3">
      <c r="D40" s="5"/>
      <c r="E40" s="5"/>
      <c r="F40" s="5"/>
      <c r="G40" s="9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D42" s="5"/>
      <c r="E42" s="5"/>
      <c r="F42" s="5"/>
      <c r="G42" s="9"/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7"/>
  <sheetViews>
    <sheetView topLeftCell="A46" zoomScaleNormal="100" workbookViewId="0">
      <selection activeCell="A62" sqref="A62"/>
    </sheetView>
  </sheetViews>
  <sheetFormatPr defaultRowHeight="14" x14ac:dyDescent="0.3"/>
  <cols>
    <col min="1" max="1" width="9" style="24"/>
    <col min="2" max="2" width="12.5" style="24" customWidth="1"/>
    <col min="3" max="3" width="46" bestFit="1" customWidth="1"/>
    <col min="4" max="6" width="12" bestFit="1" customWidth="1"/>
    <col min="7" max="7" width="12.5" style="8" bestFit="1" customWidth="1"/>
    <col min="8" max="8" width="16.33203125" hidden="1" customWidth="1"/>
    <col min="9" max="10" width="9" hidden="1" customWidth="1"/>
    <col min="11" max="11" width="19" hidden="1" customWidth="1"/>
    <col min="12" max="12" width="9" hidden="1" customWidth="1"/>
    <col min="13" max="13" width="2.58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COUNTIF(H8:H59,"&gt;1")</f>
        <v>0</v>
      </c>
    </row>
    <row r="4" spans="2:16" s="3" customFormat="1" ht="23" thickBot="1" x14ac:dyDescent="0.5">
      <c r="B4" s="120"/>
      <c r="C4" s="101" t="s">
        <v>362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COUNTIF(H8:H59,1)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3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1170</v>
      </c>
      <c r="C8" s="233" t="s">
        <v>371</v>
      </c>
      <c r="D8" s="114">
        <f>[4]Loes!$E$8</f>
        <v>62761</v>
      </c>
      <c r="E8" s="114">
        <f>[5]Loes!D8</f>
        <v>25000</v>
      </c>
      <c r="F8" s="114">
        <f t="shared" ref="F8:F9" si="0">D8-E8</f>
        <v>37761</v>
      </c>
      <c r="G8" s="243">
        <f t="shared" ref="G8:G9" si="1">ROUND((E8/D8),4)</f>
        <v>0.39829999999999999</v>
      </c>
      <c r="H8" s="14"/>
      <c r="J8" s="13"/>
      <c r="K8" s="13"/>
      <c r="L8" s="20">
        <f>SUM(L3:L7)</f>
        <v>6</v>
      </c>
      <c r="N8" s="4" t="s">
        <v>1377</v>
      </c>
      <c r="O8" s="4" t="s">
        <v>1378</v>
      </c>
    </row>
    <row r="9" spans="2:16" s="4" customFormat="1" x14ac:dyDescent="0.3">
      <c r="B9" s="238" t="s">
        <v>1171</v>
      </c>
      <c r="C9" s="233" t="s">
        <v>372</v>
      </c>
      <c r="D9" s="114">
        <f>[4]Loes!$E$9</f>
        <v>6973</v>
      </c>
      <c r="E9" s="114">
        <f>[5]Loes!D9</f>
        <v>4066.4</v>
      </c>
      <c r="F9" s="114">
        <f t="shared" si="0"/>
        <v>2906.6</v>
      </c>
      <c r="G9" s="243">
        <f t="shared" si="1"/>
        <v>0.58320000000000005</v>
      </c>
      <c r="H9" s="14"/>
      <c r="J9" s="13"/>
      <c r="N9" s="4" t="s">
        <v>1381</v>
      </c>
      <c r="O9" s="4" t="s">
        <v>1382</v>
      </c>
      <c r="P9" s="4" t="s">
        <v>1379</v>
      </c>
    </row>
    <row r="10" spans="2:16" s="3" customFormat="1" ht="14.5" thickBot="1" x14ac:dyDescent="0.35">
      <c r="B10" s="222" t="s">
        <v>1172</v>
      </c>
      <c r="C10" s="226" t="s">
        <v>373</v>
      </c>
      <c r="D10" s="109">
        <f>SUM(D8:D9)</f>
        <v>69734</v>
      </c>
      <c r="E10" s="109">
        <f>SUM(E8:E9)</f>
        <v>29066.400000000001</v>
      </c>
      <c r="F10" s="109">
        <f t="shared" ref="F10:F55" si="2">D10-E10</f>
        <v>40667.599999999999</v>
      </c>
      <c r="G10" s="229">
        <f>ROUND((E10/D10),4)</f>
        <v>0.4168</v>
      </c>
      <c r="H10" s="14">
        <f t="shared" ref="H10" si="3">G10</f>
        <v>0.4168</v>
      </c>
      <c r="K10" s="13"/>
      <c r="L10" s="13"/>
    </row>
    <row r="11" spans="2:16" s="4" customFormat="1" ht="14.25" customHeight="1" x14ac:dyDescent="0.3">
      <c r="B11" s="230"/>
      <c r="C11" s="247"/>
      <c r="D11" s="145"/>
      <c r="E11" s="145"/>
      <c r="F11" s="145"/>
      <c r="G11" s="241"/>
      <c r="H11" s="14"/>
      <c r="K11" s="13"/>
      <c r="L11" s="13"/>
    </row>
    <row r="12" spans="2:16" s="4" customFormat="1" x14ac:dyDescent="0.3">
      <c r="B12" s="611" t="s">
        <v>1173</v>
      </c>
      <c r="C12" s="606" t="s">
        <v>363</v>
      </c>
      <c r="D12" s="612">
        <f>[4]Loes!E12</f>
        <v>14414</v>
      </c>
      <c r="E12" s="114">
        <f>[5]Loes!D12</f>
        <v>6500</v>
      </c>
      <c r="F12" s="612">
        <f t="shared" si="2"/>
        <v>7914</v>
      </c>
      <c r="G12" s="607">
        <f t="shared" ref="G12:G55" si="4">ROUND((E12/D12),4)</f>
        <v>0.45100000000000001</v>
      </c>
      <c r="H12" s="14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1174</v>
      </c>
      <c r="C13" s="233" t="s">
        <v>364</v>
      </c>
      <c r="D13" s="612">
        <f>[4]Loes!E13</f>
        <v>5145</v>
      </c>
      <c r="E13" s="114">
        <f>[5]Loes!D13</f>
        <v>3314</v>
      </c>
      <c r="F13" s="114">
        <f t="shared" si="2"/>
        <v>1831</v>
      </c>
      <c r="G13" s="243">
        <f t="shared" si="4"/>
        <v>0.64410000000000001</v>
      </c>
      <c r="H13" s="14"/>
      <c r="N13" s="4" t="s">
        <v>1381</v>
      </c>
      <c r="O13" s="4" t="s">
        <v>1382</v>
      </c>
      <c r="P13" s="4" t="s">
        <v>1379</v>
      </c>
    </row>
    <row r="14" spans="2:16" s="4" customFormat="1" x14ac:dyDescent="0.3">
      <c r="B14" s="238" t="s">
        <v>1175</v>
      </c>
      <c r="C14" s="233" t="s">
        <v>365</v>
      </c>
      <c r="D14" s="612">
        <f>[4]Loes!E14</f>
        <v>9000</v>
      </c>
      <c r="E14" s="114">
        <f>[5]Loes!D14</f>
        <v>4500</v>
      </c>
      <c r="F14" s="114">
        <f t="shared" si="2"/>
        <v>4500</v>
      </c>
      <c r="G14" s="243">
        <f t="shared" si="4"/>
        <v>0.5</v>
      </c>
      <c r="H14" s="14"/>
      <c r="N14" s="4" t="s">
        <v>1377</v>
      </c>
      <c r="O14" s="4" t="s">
        <v>1378</v>
      </c>
      <c r="P14" s="4" t="s">
        <v>1379</v>
      </c>
    </row>
    <row r="15" spans="2:16" s="4" customFormat="1" x14ac:dyDescent="0.3">
      <c r="B15" s="238" t="s">
        <v>1176</v>
      </c>
      <c r="C15" s="233" t="s">
        <v>366</v>
      </c>
      <c r="D15" s="612">
        <f>[4]Loes!E15</f>
        <v>6714</v>
      </c>
      <c r="E15" s="114">
        <f>[5]Loes!D15</f>
        <v>3500</v>
      </c>
      <c r="F15" s="114">
        <f t="shared" si="2"/>
        <v>3214</v>
      </c>
      <c r="G15" s="243">
        <f t="shared" si="4"/>
        <v>0.52129999999999999</v>
      </c>
      <c r="H15" s="14"/>
      <c r="N15" s="4" t="s">
        <v>1377</v>
      </c>
      <c r="O15" s="4" t="s">
        <v>1378</v>
      </c>
      <c r="P15" s="4" t="s">
        <v>1380</v>
      </c>
    </row>
    <row r="16" spans="2:16" s="4" customFormat="1" x14ac:dyDescent="0.3">
      <c r="B16" s="238" t="s">
        <v>977</v>
      </c>
      <c r="C16" s="233" t="s">
        <v>367</v>
      </c>
      <c r="D16" s="612">
        <f>[4]Loes!E16</f>
        <v>9514</v>
      </c>
      <c r="E16" s="114">
        <f>[5]Loes!D16</f>
        <v>6500</v>
      </c>
      <c r="F16" s="114">
        <f t="shared" si="2"/>
        <v>3014</v>
      </c>
      <c r="G16" s="243">
        <f t="shared" si="4"/>
        <v>0.68320000000000003</v>
      </c>
      <c r="H16" s="14"/>
    </row>
    <row r="17" spans="2:16" s="4" customFormat="1" x14ac:dyDescent="0.3">
      <c r="B17" s="238" t="s">
        <v>1177</v>
      </c>
      <c r="C17" s="233" t="s">
        <v>368</v>
      </c>
      <c r="D17" s="612">
        <f>[4]Loes!E17</f>
        <v>8800</v>
      </c>
      <c r="E17" s="114">
        <f>[5]Loes!D17</f>
        <v>3500</v>
      </c>
      <c r="F17" s="114">
        <f t="shared" si="2"/>
        <v>5300</v>
      </c>
      <c r="G17" s="243">
        <f t="shared" si="4"/>
        <v>0.3977</v>
      </c>
      <c r="H17" s="14"/>
      <c r="N17" s="4" t="s">
        <v>1384</v>
      </c>
      <c r="O17" s="4" t="s">
        <v>1382</v>
      </c>
      <c r="P17" s="4" t="s">
        <v>1379</v>
      </c>
    </row>
    <row r="18" spans="2:16" s="4" customFormat="1" x14ac:dyDescent="0.3">
      <c r="B18" s="238" t="s">
        <v>1178</v>
      </c>
      <c r="C18" s="233" t="s">
        <v>369</v>
      </c>
      <c r="D18" s="612">
        <f>[4]Loes!E18</f>
        <v>6000</v>
      </c>
      <c r="E18" s="114">
        <f>[5]Loes!D18</f>
        <v>2000</v>
      </c>
      <c r="F18" s="114">
        <f t="shared" si="2"/>
        <v>4000</v>
      </c>
      <c r="G18" s="243">
        <f t="shared" si="4"/>
        <v>0.33329999999999999</v>
      </c>
      <c r="H18" s="14"/>
      <c r="N18" s="4" t="s">
        <v>1377</v>
      </c>
      <c r="O18" s="4" t="s">
        <v>1378</v>
      </c>
    </row>
    <row r="19" spans="2:16" s="4" customFormat="1" x14ac:dyDescent="0.3">
      <c r="B19" s="238"/>
      <c r="C19" s="172" t="s">
        <v>1392</v>
      </c>
      <c r="D19" s="114">
        <f>[4]Loes!$E$20</f>
        <v>9888</v>
      </c>
      <c r="E19" s="114">
        <f>[5]Loes!D19</f>
        <v>0</v>
      </c>
      <c r="F19" s="114">
        <f t="shared" si="2"/>
        <v>9888</v>
      </c>
      <c r="G19" s="243">
        <f t="shared" si="4"/>
        <v>0</v>
      </c>
      <c r="H19" s="14"/>
    </row>
    <row r="20" spans="2:16" s="4" customFormat="1" x14ac:dyDescent="0.3">
      <c r="B20" s="160"/>
      <c r="C20" s="624" t="s">
        <v>618</v>
      </c>
      <c r="D20" s="629">
        <v>-9888</v>
      </c>
      <c r="E20" s="114">
        <f>[5]Loes!D20</f>
        <v>0</v>
      </c>
      <c r="F20" s="629">
        <f>D20</f>
        <v>-9888</v>
      </c>
      <c r="G20" s="228"/>
      <c r="H20" s="14"/>
    </row>
    <row r="21" spans="2:16" s="3" customFormat="1" ht="14.5" thickBot="1" x14ac:dyDescent="0.35">
      <c r="B21" s="222" t="s">
        <v>1179</v>
      </c>
      <c r="C21" s="226" t="s">
        <v>370</v>
      </c>
      <c r="D21" s="109">
        <f>SUM(D12:D20)</f>
        <v>59587</v>
      </c>
      <c r="E21" s="109">
        <f t="shared" ref="E21:F21" si="5">SUM(E12:E20)</f>
        <v>29814</v>
      </c>
      <c r="F21" s="109">
        <f t="shared" si="5"/>
        <v>29773</v>
      </c>
      <c r="G21" s="229">
        <f t="shared" si="4"/>
        <v>0.50029999999999997</v>
      </c>
      <c r="H21" s="14">
        <f t="shared" ref="H21:H53" si="6">G21</f>
        <v>0.50029999999999997</v>
      </c>
    </row>
    <row r="22" spans="2:16" s="4" customFormat="1" ht="14.25" customHeight="1" x14ac:dyDescent="0.3">
      <c r="B22" s="238"/>
      <c r="C22" s="233"/>
      <c r="D22" s="114"/>
      <c r="E22" s="114"/>
      <c r="F22" s="114"/>
      <c r="G22" s="243"/>
      <c r="H22" s="14"/>
    </row>
    <row r="23" spans="2:16" s="4" customFormat="1" x14ac:dyDescent="0.3">
      <c r="B23" s="238" t="s">
        <v>1180</v>
      </c>
      <c r="C23" s="233" t="s">
        <v>374</v>
      </c>
      <c r="D23" s="114">
        <f>[4]Loes!E23</f>
        <v>3124</v>
      </c>
      <c r="E23" s="114">
        <f>[5]Loes!D23</f>
        <v>0</v>
      </c>
      <c r="F23" s="114">
        <f t="shared" si="2"/>
        <v>3124</v>
      </c>
      <c r="G23" s="243">
        <f t="shared" si="4"/>
        <v>0</v>
      </c>
      <c r="H23" s="14"/>
      <c r="N23" s="4" t="s">
        <v>1377</v>
      </c>
      <c r="O23" s="4" t="s">
        <v>1378</v>
      </c>
    </row>
    <row r="24" spans="2:16" s="4" customFormat="1" x14ac:dyDescent="0.3">
      <c r="B24" s="238" t="s">
        <v>1181</v>
      </c>
      <c r="C24" s="233" t="s">
        <v>375</v>
      </c>
      <c r="D24" s="114">
        <f>[4]Loes!E24</f>
        <v>33737</v>
      </c>
      <c r="E24" s="114">
        <f>[5]Loes!D24</f>
        <v>19887</v>
      </c>
      <c r="F24" s="114">
        <f t="shared" si="2"/>
        <v>13850</v>
      </c>
      <c r="G24" s="243">
        <f t="shared" si="4"/>
        <v>0.58950000000000002</v>
      </c>
      <c r="H24" s="14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1206</v>
      </c>
      <c r="C25" s="233" t="s">
        <v>376</v>
      </c>
      <c r="D25" s="114">
        <f>[4]Loes!E25</f>
        <v>4373</v>
      </c>
      <c r="E25" s="114">
        <f>[5]Loes!D25</f>
        <v>2200</v>
      </c>
      <c r="F25" s="114">
        <f t="shared" si="2"/>
        <v>2173</v>
      </c>
      <c r="G25" s="243">
        <f t="shared" si="4"/>
        <v>0.50309999999999999</v>
      </c>
      <c r="H25" s="14"/>
    </row>
    <row r="26" spans="2:16" s="4" customFormat="1" x14ac:dyDescent="0.3">
      <c r="B26" s="238" t="s">
        <v>1182</v>
      </c>
      <c r="C26" s="233" t="s">
        <v>377</v>
      </c>
      <c r="D26" s="114">
        <f>[4]Loes!E26</f>
        <v>5311</v>
      </c>
      <c r="E26" s="114">
        <f>[5]Loes!D26</f>
        <v>1900</v>
      </c>
      <c r="F26" s="114">
        <f t="shared" si="2"/>
        <v>3411</v>
      </c>
      <c r="G26" s="243">
        <f t="shared" si="4"/>
        <v>0.35770000000000002</v>
      </c>
      <c r="H26" s="14"/>
      <c r="N26" s="4" t="s">
        <v>1377</v>
      </c>
      <c r="O26" s="4" t="s">
        <v>1378</v>
      </c>
    </row>
    <row r="27" spans="2:16" s="4" customFormat="1" x14ac:dyDescent="0.3">
      <c r="B27" s="238" t="s">
        <v>1183</v>
      </c>
      <c r="C27" s="233" t="s">
        <v>378</v>
      </c>
      <c r="D27" s="114">
        <f>[4]Loes!E27</f>
        <v>5311</v>
      </c>
      <c r="E27" s="114">
        <f>[5]Loes!D27</f>
        <v>1000</v>
      </c>
      <c r="F27" s="114">
        <f t="shared" si="2"/>
        <v>4311</v>
      </c>
      <c r="G27" s="243">
        <f t="shared" si="4"/>
        <v>0.1883</v>
      </c>
      <c r="H27" s="14"/>
      <c r="N27" s="4" t="s">
        <v>1377</v>
      </c>
      <c r="O27" s="4" t="s">
        <v>1378</v>
      </c>
    </row>
    <row r="28" spans="2:16" s="4" customFormat="1" x14ac:dyDescent="0.3">
      <c r="B28" s="238" t="s">
        <v>1184</v>
      </c>
      <c r="C28" s="233" t="s">
        <v>379</v>
      </c>
      <c r="D28" s="114">
        <f>[4]Loes!E28</f>
        <v>5311</v>
      </c>
      <c r="E28" s="114">
        <f>[5]Loes!D28</f>
        <v>2775</v>
      </c>
      <c r="F28" s="114">
        <f t="shared" si="2"/>
        <v>2536</v>
      </c>
      <c r="G28" s="243">
        <f t="shared" si="4"/>
        <v>0.52249999999999996</v>
      </c>
      <c r="H28" s="14"/>
      <c r="N28" s="4" t="s">
        <v>1381</v>
      </c>
      <c r="O28" s="4" t="s">
        <v>1378</v>
      </c>
      <c r="P28" s="4" t="s">
        <v>1379</v>
      </c>
    </row>
    <row r="29" spans="2:16" s="4" customFormat="1" x14ac:dyDescent="0.3">
      <c r="B29" s="238" t="s">
        <v>1185</v>
      </c>
      <c r="C29" s="233" t="s">
        <v>380</v>
      </c>
      <c r="D29" s="114">
        <f>[4]Loes!E29</f>
        <v>5311</v>
      </c>
      <c r="E29" s="114">
        <f>[5]Loes!D29</f>
        <v>2800</v>
      </c>
      <c r="F29" s="114">
        <f t="shared" si="2"/>
        <v>2511</v>
      </c>
      <c r="G29" s="243">
        <f t="shared" si="4"/>
        <v>0.5272</v>
      </c>
      <c r="H29" s="14"/>
      <c r="N29" s="4" t="s">
        <v>1381</v>
      </c>
      <c r="O29" s="4" t="s">
        <v>1382</v>
      </c>
      <c r="P29" s="4" t="s">
        <v>1379</v>
      </c>
    </row>
    <row r="30" spans="2:16" s="3" customFormat="1" ht="14.5" thickBot="1" x14ac:dyDescent="0.35">
      <c r="B30" s="222" t="s">
        <v>1186</v>
      </c>
      <c r="C30" s="226" t="s">
        <v>381</v>
      </c>
      <c r="D30" s="109">
        <f>SUM(D23:D29)</f>
        <v>62478</v>
      </c>
      <c r="E30" s="109">
        <f>SUM(E23:E29)</f>
        <v>30562</v>
      </c>
      <c r="F30" s="109">
        <f t="shared" si="2"/>
        <v>31916</v>
      </c>
      <c r="G30" s="229">
        <f t="shared" si="4"/>
        <v>0.48920000000000002</v>
      </c>
      <c r="H30" s="14">
        <f t="shared" si="6"/>
        <v>0.48920000000000002</v>
      </c>
    </row>
    <row r="31" spans="2:16" s="4" customFormat="1" ht="14.25" customHeight="1" x14ac:dyDescent="0.3">
      <c r="B31" s="238"/>
      <c r="C31" s="233"/>
      <c r="D31" s="114"/>
      <c r="E31" s="114"/>
      <c r="F31" s="114"/>
      <c r="G31" s="243"/>
      <c r="H31" s="14"/>
    </row>
    <row r="32" spans="2:16" s="4" customFormat="1" x14ac:dyDescent="0.3">
      <c r="B32" s="238" t="s">
        <v>1187</v>
      </c>
      <c r="C32" s="233" t="s">
        <v>382</v>
      </c>
      <c r="D32" s="114">
        <f>[4]Loes!E32</f>
        <v>3000</v>
      </c>
      <c r="E32" s="114">
        <f>[5]Loes!D32</f>
        <v>700</v>
      </c>
      <c r="F32" s="114">
        <f t="shared" si="2"/>
        <v>2300</v>
      </c>
      <c r="G32" s="243">
        <f t="shared" si="4"/>
        <v>0.23330000000000001</v>
      </c>
      <c r="H32" s="14"/>
      <c r="N32" s="4" t="s">
        <v>1381</v>
      </c>
      <c r="O32" s="4" t="s">
        <v>1378</v>
      </c>
      <c r="P32" s="4" t="s">
        <v>1387</v>
      </c>
    </row>
    <row r="33" spans="2:16" s="4" customFormat="1" x14ac:dyDescent="0.3">
      <c r="B33" s="238" t="s">
        <v>1188</v>
      </c>
      <c r="C33" s="233" t="s">
        <v>383</v>
      </c>
      <c r="D33" s="114">
        <f>[4]Loes!E33</f>
        <v>4200</v>
      </c>
      <c r="E33" s="114">
        <f>[5]Loes!D33</f>
        <v>2200</v>
      </c>
      <c r="F33" s="114">
        <f t="shared" si="2"/>
        <v>2000</v>
      </c>
      <c r="G33" s="243">
        <f t="shared" si="4"/>
        <v>0.52380000000000004</v>
      </c>
      <c r="H33" s="14"/>
    </row>
    <row r="34" spans="2:16" s="4" customFormat="1" x14ac:dyDescent="0.3">
      <c r="B34" s="238" t="s">
        <v>1189</v>
      </c>
      <c r="C34" s="233" t="s">
        <v>384</v>
      </c>
      <c r="D34" s="114">
        <f>[4]Loes!E34</f>
        <v>9585</v>
      </c>
      <c r="E34" s="114">
        <f>[5]Loes!D34</f>
        <v>4800</v>
      </c>
      <c r="F34" s="114">
        <f t="shared" si="2"/>
        <v>4785</v>
      </c>
      <c r="G34" s="243">
        <f t="shared" si="4"/>
        <v>0.50080000000000002</v>
      </c>
      <c r="H34" s="14"/>
      <c r="N34" s="4" t="s">
        <v>1381</v>
      </c>
      <c r="O34" s="4" t="s">
        <v>1378</v>
      </c>
    </row>
    <row r="35" spans="2:16" s="4" customFormat="1" x14ac:dyDescent="0.3">
      <c r="B35" s="238" t="s">
        <v>1190</v>
      </c>
      <c r="C35" s="233" t="s">
        <v>385</v>
      </c>
      <c r="D35" s="114">
        <f>[4]Loes!E35</f>
        <v>4000</v>
      </c>
      <c r="E35" s="114">
        <f>[5]Loes!D35</f>
        <v>0</v>
      </c>
      <c r="F35" s="114">
        <f t="shared" si="2"/>
        <v>4000</v>
      </c>
      <c r="G35" s="243">
        <f t="shared" si="4"/>
        <v>0</v>
      </c>
      <c r="H35" s="14"/>
    </row>
    <row r="36" spans="2:16" s="4" customFormat="1" x14ac:dyDescent="0.3">
      <c r="B36" s="238" t="s">
        <v>1191</v>
      </c>
      <c r="C36" s="233" t="s">
        <v>387</v>
      </c>
      <c r="D36" s="114">
        <f>[4]Loes!E36</f>
        <v>14790</v>
      </c>
      <c r="E36" s="114">
        <f>[5]Loes!D36</f>
        <v>8190</v>
      </c>
      <c r="F36" s="114">
        <f t="shared" si="2"/>
        <v>6600</v>
      </c>
      <c r="G36" s="243">
        <f t="shared" si="4"/>
        <v>0.55379999999999996</v>
      </c>
      <c r="H36" s="14"/>
      <c r="N36" s="4" t="s">
        <v>1384</v>
      </c>
      <c r="O36" s="4" t="s">
        <v>1382</v>
      </c>
      <c r="P36" s="4" t="s">
        <v>1379</v>
      </c>
    </row>
    <row r="37" spans="2:16" s="4" customFormat="1" x14ac:dyDescent="0.3">
      <c r="B37" s="238" t="s">
        <v>1192</v>
      </c>
      <c r="C37" s="233" t="s">
        <v>388</v>
      </c>
      <c r="D37" s="114">
        <f>[4]Loes!E37</f>
        <v>6756</v>
      </c>
      <c r="E37" s="114">
        <f>[5]Loes!D37</f>
        <v>3500</v>
      </c>
      <c r="F37" s="114">
        <f t="shared" si="2"/>
        <v>3256</v>
      </c>
      <c r="G37" s="243">
        <f t="shared" si="4"/>
        <v>0.5181</v>
      </c>
      <c r="H37" s="14"/>
    </row>
    <row r="38" spans="2:16" s="4" customFormat="1" x14ac:dyDescent="0.3">
      <c r="B38" s="238" t="s">
        <v>1193</v>
      </c>
      <c r="C38" s="233" t="s">
        <v>386</v>
      </c>
      <c r="D38" s="114">
        <f>[4]Loes!E38</f>
        <v>2200</v>
      </c>
      <c r="E38" s="114">
        <f>[5]Loes!D38</f>
        <v>0</v>
      </c>
      <c r="F38" s="114">
        <f t="shared" si="2"/>
        <v>2200</v>
      </c>
      <c r="G38" s="243">
        <f t="shared" si="4"/>
        <v>0</v>
      </c>
      <c r="H38" s="14"/>
      <c r="N38" s="4" t="s">
        <v>1381</v>
      </c>
      <c r="O38" s="4" t="s">
        <v>1378</v>
      </c>
      <c r="P38" s="4" t="s">
        <v>1387</v>
      </c>
    </row>
    <row r="39" spans="2:16" s="4" customFormat="1" x14ac:dyDescent="0.3">
      <c r="B39" s="238" t="s">
        <v>1194</v>
      </c>
      <c r="C39" s="233" t="s">
        <v>389</v>
      </c>
      <c r="D39" s="114">
        <f>[4]Loes!E39</f>
        <v>8718</v>
      </c>
      <c r="E39" s="114">
        <f>[5]Loes!D39</f>
        <v>2788</v>
      </c>
      <c r="F39" s="114">
        <f t="shared" si="2"/>
        <v>5930</v>
      </c>
      <c r="G39" s="243">
        <f t="shared" si="4"/>
        <v>0.31979999999999997</v>
      </c>
      <c r="H39" s="14"/>
      <c r="N39" s="4" t="s">
        <v>1381</v>
      </c>
      <c r="O39" s="4" t="s">
        <v>1382</v>
      </c>
      <c r="P39" s="4" t="s">
        <v>1379</v>
      </c>
    </row>
    <row r="40" spans="2:16" s="4" customFormat="1" x14ac:dyDescent="0.3">
      <c r="B40" s="238"/>
      <c r="C40" s="247" t="s">
        <v>1390</v>
      </c>
      <c r="D40" s="114">
        <f>[4]Loes!E40</f>
        <v>9885</v>
      </c>
      <c r="E40" s="114">
        <f>[5]Loes!D40</f>
        <v>0</v>
      </c>
      <c r="F40" s="114">
        <f t="shared" si="2"/>
        <v>9885</v>
      </c>
      <c r="G40" s="243">
        <f t="shared" si="4"/>
        <v>0</v>
      </c>
      <c r="H40" s="14"/>
    </row>
    <row r="41" spans="2:16" s="3" customFormat="1" ht="14.5" thickBot="1" x14ac:dyDescent="0.35">
      <c r="B41" s="222" t="s">
        <v>1195</v>
      </c>
      <c r="C41" s="226" t="s">
        <v>390</v>
      </c>
      <c r="D41" s="109">
        <f>SUM(D32:D40)</f>
        <v>63134</v>
      </c>
      <c r="E41" s="109">
        <f>SUM(E32:E39)</f>
        <v>22178</v>
      </c>
      <c r="F41" s="109">
        <f t="shared" si="2"/>
        <v>40956</v>
      </c>
      <c r="G41" s="229">
        <f t="shared" si="4"/>
        <v>0.3513</v>
      </c>
      <c r="H41" s="14">
        <f t="shared" si="6"/>
        <v>0.3513</v>
      </c>
    </row>
    <row r="42" spans="2:16" s="4" customFormat="1" ht="14.25" customHeight="1" x14ac:dyDescent="0.3">
      <c r="B42" s="238"/>
      <c r="C42" s="233"/>
      <c r="D42" s="114"/>
      <c r="E42" s="114"/>
      <c r="F42" s="114"/>
      <c r="G42" s="243"/>
      <c r="H42" s="14"/>
    </row>
    <row r="43" spans="2:16" s="4" customFormat="1" x14ac:dyDescent="0.3">
      <c r="B43" s="238" t="s">
        <v>1196</v>
      </c>
      <c r="C43" s="233" t="s">
        <v>391</v>
      </c>
      <c r="D43" s="114">
        <f>[4]Loes!E43</f>
        <v>3510</v>
      </c>
      <c r="E43" s="114">
        <f>[5]Loes!D43</f>
        <v>1735</v>
      </c>
      <c r="F43" s="114">
        <f t="shared" si="2"/>
        <v>1775</v>
      </c>
      <c r="G43" s="243">
        <f t="shared" si="4"/>
        <v>0.49430000000000002</v>
      </c>
      <c r="H43" s="14"/>
      <c r="N43" s="4" t="s">
        <v>1381</v>
      </c>
      <c r="O43" s="4" t="s">
        <v>1382</v>
      </c>
      <c r="P43" s="4" t="s">
        <v>1379</v>
      </c>
    </row>
    <row r="44" spans="2:16" s="4" customFormat="1" x14ac:dyDescent="0.3">
      <c r="B44" s="238" t="s">
        <v>1197</v>
      </c>
      <c r="C44" s="233" t="s">
        <v>392</v>
      </c>
      <c r="D44" s="114">
        <f>[4]Loes!E44</f>
        <v>2173</v>
      </c>
      <c r="E44" s="114">
        <f>[5]Loes!D44</f>
        <v>2173</v>
      </c>
      <c r="F44" s="114">
        <f t="shared" si="2"/>
        <v>0</v>
      </c>
      <c r="G44" s="243">
        <f t="shared" si="4"/>
        <v>1</v>
      </c>
      <c r="H44" s="14"/>
      <c r="N44" s="4" t="s">
        <v>1377</v>
      </c>
      <c r="O44" s="4" t="s">
        <v>1378</v>
      </c>
      <c r="P44" s="4" t="s">
        <v>1383</v>
      </c>
    </row>
    <row r="45" spans="2:16" s="4" customFormat="1" x14ac:dyDescent="0.3">
      <c r="B45" s="238" t="s">
        <v>1198</v>
      </c>
      <c r="C45" s="233" t="s">
        <v>393</v>
      </c>
      <c r="D45" s="114">
        <f>[4]Loes!E45</f>
        <v>2007</v>
      </c>
      <c r="E45" s="114">
        <f>[5]Loes!D45</f>
        <v>2007</v>
      </c>
      <c r="F45" s="114">
        <f t="shared" si="2"/>
        <v>0</v>
      </c>
      <c r="G45" s="243">
        <f t="shared" si="4"/>
        <v>1</v>
      </c>
      <c r="H45" s="14"/>
      <c r="N45" s="4" t="s">
        <v>1377</v>
      </c>
      <c r="O45" s="4" t="s">
        <v>1378</v>
      </c>
    </row>
    <row r="46" spans="2:16" s="4" customFormat="1" x14ac:dyDescent="0.3">
      <c r="B46" s="238" t="s">
        <v>1199</v>
      </c>
      <c r="C46" s="233" t="s">
        <v>394</v>
      </c>
      <c r="D46" s="114">
        <f>[4]Loes!E46</f>
        <v>4011</v>
      </c>
      <c r="E46" s="114">
        <f>[5]Loes!D46</f>
        <v>4011</v>
      </c>
      <c r="F46" s="114">
        <f t="shared" si="2"/>
        <v>0</v>
      </c>
      <c r="G46" s="243">
        <f t="shared" si="4"/>
        <v>1</v>
      </c>
      <c r="H46" s="14"/>
      <c r="N46" s="4" t="s">
        <v>1381</v>
      </c>
      <c r="O46" s="4" t="s">
        <v>1382</v>
      </c>
      <c r="P46" s="4" t="s">
        <v>1379</v>
      </c>
    </row>
    <row r="47" spans="2:16" s="4" customFormat="1" x14ac:dyDescent="0.3">
      <c r="B47" s="238" t="s">
        <v>1200</v>
      </c>
      <c r="C47" s="233" t="s">
        <v>395</v>
      </c>
      <c r="D47" s="114">
        <f>[4]Loes!E47</f>
        <v>2674</v>
      </c>
      <c r="E47" s="114">
        <f>[5]Loes!D47</f>
        <v>1548.5</v>
      </c>
      <c r="F47" s="114">
        <f t="shared" si="2"/>
        <v>1125.5</v>
      </c>
      <c r="G47" s="243">
        <f t="shared" si="4"/>
        <v>0.57909999999999995</v>
      </c>
      <c r="H47" s="14"/>
      <c r="N47" s="4" t="s">
        <v>1384</v>
      </c>
      <c r="O47" s="4" t="s">
        <v>1382</v>
      </c>
      <c r="P47" s="4" t="s">
        <v>1379</v>
      </c>
    </row>
    <row r="48" spans="2:16" s="4" customFormat="1" x14ac:dyDescent="0.3">
      <c r="B48" s="238" t="s">
        <v>1201</v>
      </c>
      <c r="C48" s="233" t="s">
        <v>396</v>
      </c>
      <c r="D48" s="114">
        <f>[4]Loes!E48</f>
        <v>2340</v>
      </c>
      <c r="E48" s="114">
        <f>[5]Loes!D48</f>
        <v>2340</v>
      </c>
      <c r="F48" s="114">
        <f t="shared" si="2"/>
        <v>0</v>
      </c>
      <c r="G48" s="243">
        <f t="shared" si="4"/>
        <v>1</v>
      </c>
      <c r="H48" s="14"/>
      <c r="N48" s="4" t="s">
        <v>1377</v>
      </c>
      <c r="O48" s="4" t="s">
        <v>1378</v>
      </c>
      <c r="P48" s="4" t="s">
        <v>1380</v>
      </c>
    </row>
    <row r="49" spans="2:16" s="3" customFormat="1" ht="14.5" thickBot="1" x14ac:dyDescent="0.35">
      <c r="B49" s="222" t="s">
        <v>1202</v>
      </c>
      <c r="C49" s="226" t="s">
        <v>397</v>
      </c>
      <c r="D49" s="109">
        <f>SUM(D43:D48)</f>
        <v>16715</v>
      </c>
      <c r="E49" s="109">
        <f>SUM(E43:E48)</f>
        <v>13814.5</v>
      </c>
      <c r="F49" s="109">
        <f t="shared" si="2"/>
        <v>2900.5</v>
      </c>
      <c r="G49" s="229">
        <f t="shared" si="4"/>
        <v>0.82650000000000001</v>
      </c>
      <c r="H49" s="14">
        <f t="shared" si="6"/>
        <v>0.82650000000000001</v>
      </c>
    </row>
    <row r="50" spans="2:16" s="4" customFormat="1" ht="14.25" customHeight="1" x14ac:dyDescent="0.3">
      <c r="B50" s="238"/>
      <c r="C50" s="233"/>
      <c r="D50" s="114"/>
      <c r="E50" s="114"/>
      <c r="F50" s="114"/>
      <c r="G50" s="243"/>
      <c r="H50" s="14"/>
    </row>
    <row r="51" spans="2:16" s="4" customFormat="1" x14ac:dyDescent="0.3">
      <c r="B51" s="238" t="s">
        <v>1203</v>
      </c>
      <c r="C51" s="233" t="s">
        <v>398</v>
      </c>
      <c r="D51" s="114">
        <f>[4]Loes!$E$51</f>
        <v>15974</v>
      </c>
      <c r="E51" s="114">
        <f>[5]Loes!$D$51</f>
        <v>9385</v>
      </c>
      <c r="F51" s="114">
        <f t="shared" ref="F51:F52" si="7">D51-E51</f>
        <v>6589</v>
      </c>
      <c r="G51" s="243">
        <f t="shared" ref="G51:G52" si="8">ROUND((E51/D51),4)</f>
        <v>0.58750000000000002</v>
      </c>
      <c r="H51" s="14"/>
      <c r="N51" s="4" t="s">
        <v>1381</v>
      </c>
      <c r="O51" s="4" t="s">
        <v>1382</v>
      </c>
      <c r="P51" s="4" t="s">
        <v>1379</v>
      </c>
    </row>
    <row r="52" spans="2:16" s="4" customFormat="1" x14ac:dyDescent="0.3">
      <c r="B52" s="238" t="s">
        <v>1204</v>
      </c>
      <c r="C52" s="247" t="s">
        <v>399</v>
      </c>
      <c r="D52" s="114">
        <f>[4]Loes!$E$52</f>
        <v>54614</v>
      </c>
      <c r="E52" s="114">
        <f>[5]Loes!$D$52</f>
        <v>29000</v>
      </c>
      <c r="F52" s="145">
        <f t="shared" si="7"/>
        <v>25614</v>
      </c>
      <c r="G52" s="243">
        <f t="shared" si="8"/>
        <v>0.53100000000000003</v>
      </c>
      <c r="H52" s="14"/>
      <c r="N52" s="4" t="s">
        <v>1377</v>
      </c>
      <c r="O52" s="4" t="s">
        <v>1378</v>
      </c>
      <c r="P52" s="4" t="s">
        <v>1379</v>
      </c>
    </row>
    <row r="53" spans="2:16" s="3" customFormat="1" ht="14.5" thickBot="1" x14ac:dyDescent="0.35">
      <c r="B53" s="222" t="s">
        <v>1205</v>
      </c>
      <c r="C53" s="226" t="s">
        <v>400</v>
      </c>
      <c r="D53" s="109">
        <f>SUM(D51:D52)</f>
        <v>70588</v>
      </c>
      <c r="E53" s="109">
        <f>SUM(E51:E52)</f>
        <v>38385</v>
      </c>
      <c r="F53" s="109">
        <f t="shared" si="2"/>
        <v>32203</v>
      </c>
      <c r="G53" s="229">
        <f t="shared" si="4"/>
        <v>0.54379999999999995</v>
      </c>
      <c r="H53" s="14">
        <f t="shared" si="6"/>
        <v>0.54379999999999995</v>
      </c>
    </row>
    <row r="54" spans="2:16" s="4" customFormat="1" ht="14.25" customHeight="1" x14ac:dyDescent="0.3">
      <c r="B54" s="238"/>
      <c r="C54" s="233"/>
      <c r="D54" s="114"/>
      <c r="E54" s="114"/>
      <c r="F54" s="114"/>
      <c r="G54" s="241"/>
    </row>
    <row r="55" spans="2:16" s="3" customFormat="1" ht="15" customHeight="1" thickBot="1" x14ac:dyDescent="0.35">
      <c r="B55" s="222"/>
      <c r="C55" s="226" t="s">
        <v>58</v>
      </c>
      <c r="D55" s="109">
        <f>SUM(D53,D49,D41,D30,D21,D10)-D20</f>
        <v>352124</v>
      </c>
      <c r="E55" s="109">
        <f>SUM(E53,E49,E41,E30,E21,E10)</f>
        <v>163819.9</v>
      </c>
      <c r="F55" s="109">
        <f t="shared" si="2"/>
        <v>188304.1</v>
      </c>
      <c r="G55" s="282">
        <f t="shared" si="4"/>
        <v>0.4652</v>
      </c>
    </row>
    <row r="56" spans="2:16" s="3" customFormat="1" ht="15" customHeight="1" x14ac:dyDescent="0.3">
      <c r="B56" s="258"/>
      <c r="C56" s="284"/>
      <c r="D56" s="236"/>
      <c r="E56" s="236"/>
      <c r="F56" s="236"/>
      <c r="G56" s="292"/>
    </row>
    <row r="57" spans="2:16" s="3" customFormat="1" ht="15" customHeight="1" thickBot="1" x14ac:dyDescent="0.35">
      <c r="B57" s="124"/>
      <c r="C57" s="99" t="s">
        <v>1637</v>
      </c>
      <c r="D57" s="110">
        <f>D55+D20</f>
        <v>342236</v>
      </c>
      <c r="E57" s="110">
        <f t="shared" ref="E57:F57" si="9">E55+E20</f>
        <v>163819.9</v>
      </c>
      <c r="F57" s="110">
        <f t="shared" si="9"/>
        <v>178416.1</v>
      </c>
      <c r="G57" s="282">
        <f>E57/D57</f>
        <v>0.47867524164611552</v>
      </c>
    </row>
    <row r="58" spans="2:16" s="3" customFormat="1" ht="15" customHeight="1" x14ac:dyDescent="0.3">
      <c r="B58" s="258"/>
      <c r="C58" s="284"/>
      <c r="D58" s="236"/>
      <c r="E58" s="236"/>
      <c r="F58" s="236"/>
      <c r="G58" s="292"/>
    </row>
    <row r="59" spans="2:16" s="4" customFormat="1" ht="14.5" thickBot="1" x14ac:dyDescent="0.35">
      <c r="B59" s="222"/>
      <c r="C59" s="226" t="s">
        <v>1630</v>
      </c>
      <c r="D59" s="109">
        <f>[7]Loes!$D$58</f>
        <v>331100</v>
      </c>
      <c r="E59" s="109">
        <f>[5]Summary!$C$22</f>
        <v>173847</v>
      </c>
      <c r="F59" s="109">
        <f>D59-E59</f>
        <v>157253</v>
      </c>
      <c r="G59" s="282">
        <f>E59/D59</f>
        <v>0.5250588945937783</v>
      </c>
    </row>
    <row r="60" spans="2:16" s="4" customFormat="1" x14ac:dyDescent="0.3">
      <c r="G60" s="9"/>
    </row>
    <row r="61" spans="2:16" s="4" customFormat="1" x14ac:dyDescent="0.3">
      <c r="G61" s="9"/>
    </row>
    <row r="62" spans="2:16" s="4" customFormat="1" x14ac:dyDescent="0.3">
      <c r="G62" s="9"/>
    </row>
    <row r="63" spans="2:16" s="4" customFormat="1" x14ac:dyDescent="0.3">
      <c r="G63" s="9"/>
    </row>
    <row r="64" spans="2:16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68"/>
  <sheetViews>
    <sheetView topLeftCell="A41" zoomScaleNormal="100" workbookViewId="0">
      <selection activeCell="F56" sqref="F56"/>
    </sheetView>
  </sheetViews>
  <sheetFormatPr defaultRowHeight="14" x14ac:dyDescent="0.3"/>
  <cols>
    <col min="1" max="1" width="9" style="24"/>
    <col min="2" max="2" width="11" style="24" bestFit="1" customWidth="1"/>
    <col min="3" max="3" width="59" bestFit="1" customWidth="1"/>
    <col min="4" max="4" width="14" bestFit="1" customWidth="1"/>
    <col min="5" max="6" width="12" bestFit="1" customWidth="1"/>
    <col min="7" max="7" width="12.33203125" style="8" customWidth="1"/>
    <col min="8" max="8" width="11.33203125" hidden="1" customWidth="1"/>
    <col min="9" max="10" width="9.75" hidden="1" customWidth="1"/>
    <col min="11" max="11" width="19.25" hidden="1" customWidth="1"/>
    <col min="12" max="17" width="9.75" hidden="1" customWidth="1"/>
    <col min="18" max="18" width="13.33203125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COUNTIF(H8:H46,"&gt;1")</f>
        <v>1</v>
      </c>
    </row>
    <row r="4" spans="2:16" s="3" customFormat="1" ht="18" thickBot="1" x14ac:dyDescent="0.4">
      <c r="B4" s="120"/>
      <c r="C4" s="158" t="s">
        <v>343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COUNTIF(H8:H46,1)</f>
        <v>0</v>
      </c>
    </row>
    <row r="5" spans="2:16" s="3" customFormat="1" ht="14.25" customHeight="1" thickBot="1" x14ac:dyDescent="0.35">
      <c r="B5" s="120"/>
      <c r="C5" s="42"/>
      <c r="D5" s="42"/>
      <c r="E5" s="42"/>
      <c r="F5" s="42"/>
      <c r="G5" s="121"/>
      <c r="J5" s="13"/>
      <c r="K5" s="24" t="s">
        <v>1551</v>
      </c>
      <c r="L5" s="13">
        <v>4</v>
      </c>
    </row>
    <row r="6" spans="2:16" s="3" customFormat="1" ht="14.5" thickBot="1" x14ac:dyDescent="0.35">
      <c r="B6" s="185" t="s">
        <v>613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9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38"/>
      <c r="C7" s="143"/>
      <c r="D7" s="143"/>
      <c r="E7" s="143"/>
      <c r="F7" s="143"/>
      <c r="G7" s="167"/>
      <c r="J7" s="13"/>
      <c r="K7" s="24" t="s">
        <v>557</v>
      </c>
      <c r="L7" s="13">
        <v>0</v>
      </c>
    </row>
    <row r="8" spans="2:16" s="4" customFormat="1" ht="14.5" thickBot="1" x14ac:dyDescent="0.35">
      <c r="B8" s="315" t="s">
        <v>1151</v>
      </c>
      <c r="C8" s="222" t="s">
        <v>344</v>
      </c>
      <c r="D8" s="109">
        <f>[4]Ipswich!$E$8</f>
        <v>18567</v>
      </c>
      <c r="E8" s="109">
        <f>[5]Ipswich!$D$8</f>
        <v>7000</v>
      </c>
      <c r="F8" s="109">
        <f>D8-E8</f>
        <v>11567</v>
      </c>
      <c r="G8" s="227">
        <f>ROUND((E8/D8),4)</f>
        <v>0.377</v>
      </c>
      <c r="H8" s="227"/>
      <c r="J8" s="13"/>
      <c r="K8" s="13"/>
      <c r="L8" s="13">
        <f>SUM(L3:L7)</f>
        <v>14</v>
      </c>
      <c r="N8" s="4" t="s">
        <v>1381</v>
      </c>
      <c r="O8" s="4" t="s">
        <v>1382</v>
      </c>
      <c r="P8" s="4" t="s">
        <v>1379</v>
      </c>
    </row>
    <row r="9" spans="2:16" s="4" customFormat="1" ht="14.25" customHeight="1" x14ac:dyDescent="0.3">
      <c r="B9" s="316"/>
      <c r="C9" s="240"/>
      <c r="D9" s="245"/>
      <c r="E9" s="245"/>
      <c r="F9" s="245"/>
      <c r="G9" s="313"/>
      <c r="H9" s="16"/>
      <c r="K9" s="13"/>
      <c r="L9" s="13"/>
    </row>
    <row r="10" spans="2:16" s="3" customFormat="1" ht="14.5" thickBot="1" x14ac:dyDescent="0.35">
      <c r="B10" s="222" t="s">
        <v>1152</v>
      </c>
      <c r="C10" s="99" t="s">
        <v>1634</v>
      </c>
      <c r="D10" s="109">
        <f>[4]Ipswich!$E$11</f>
        <v>78666</v>
      </c>
      <c r="E10" s="109">
        <f>[5]Ipswich!$D$11</f>
        <v>45886</v>
      </c>
      <c r="F10" s="109">
        <f t="shared" ref="F10:F46" si="0">D10-E10</f>
        <v>32780</v>
      </c>
      <c r="G10" s="227">
        <f t="shared" ref="G10:G46" si="1">ROUND((E10/D10),4)</f>
        <v>0.58330000000000004</v>
      </c>
      <c r="H10" s="220">
        <f>G10</f>
        <v>0.58330000000000004</v>
      </c>
    </row>
    <row r="11" spans="2:16" s="4" customFormat="1" ht="14.25" customHeight="1" x14ac:dyDescent="0.3">
      <c r="B11" s="315"/>
      <c r="C11" s="233"/>
      <c r="D11" s="114"/>
      <c r="E11" s="114"/>
      <c r="F11" s="114"/>
      <c r="G11" s="317"/>
      <c r="H11" s="16"/>
    </row>
    <row r="12" spans="2:16" s="3" customFormat="1" ht="14.5" thickBot="1" x14ac:dyDescent="0.35">
      <c r="B12" s="225" t="s">
        <v>1153</v>
      </c>
      <c r="C12" s="226" t="s">
        <v>345</v>
      </c>
      <c r="D12" s="109">
        <f>[4]Ipswich!$E$13</f>
        <v>82040</v>
      </c>
      <c r="E12" s="109">
        <f>[5]Ipswich!$D$15</f>
        <v>27836</v>
      </c>
      <c r="F12" s="109">
        <f t="shared" si="0"/>
        <v>54204</v>
      </c>
      <c r="G12" s="227">
        <f t="shared" si="1"/>
        <v>0.33929999999999999</v>
      </c>
      <c r="H12" s="14">
        <f t="shared" ref="H12:H46" si="2">G12</f>
        <v>0.33929999999999999</v>
      </c>
      <c r="N12" s="4" t="s">
        <v>1381</v>
      </c>
      <c r="O12" s="4"/>
      <c r="P12" s="4"/>
    </row>
    <row r="13" spans="2:16" s="4" customFormat="1" ht="14.25" customHeight="1" x14ac:dyDescent="0.3">
      <c r="B13" s="316"/>
      <c r="C13" s="240"/>
      <c r="D13" s="245"/>
      <c r="E13" s="245"/>
      <c r="F13" s="245"/>
      <c r="G13" s="313"/>
      <c r="H13" s="16"/>
    </row>
    <row r="14" spans="2:16" s="3" customFormat="1" ht="14.5" thickBot="1" x14ac:dyDescent="0.35">
      <c r="B14" s="225" t="s">
        <v>1154</v>
      </c>
      <c r="C14" s="226" t="s">
        <v>1633</v>
      </c>
      <c r="D14" s="109">
        <f>[4]Ipswich!$E$15</f>
        <v>63233</v>
      </c>
      <c r="E14" s="109">
        <f>[5]Ipswich!$D$17</f>
        <v>8650</v>
      </c>
      <c r="F14" s="109">
        <f t="shared" si="0"/>
        <v>54583</v>
      </c>
      <c r="G14" s="227">
        <f t="shared" si="1"/>
        <v>0.1368</v>
      </c>
      <c r="H14" s="14">
        <f t="shared" si="2"/>
        <v>0.1368</v>
      </c>
      <c r="N14" s="4" t="s">
        <v>1381</v>
      </c>
      <c r="O14" s="4" t="s">
        <v>1382</v>
      </c>
      <c r="P14" s="4" t="s">
        <v>1379</v>
      </c>
    </row>
    <row r="15" spans="2:16" s="4" customFormat="1" ht="14.25" customHeight="1" x14ac:dyDescent="0.3">
      <c r="B15" s="316"/>
      <c r="C15" s="240"/>
      <c r="D15" s="245"/>
      <c r="E15" s="245"/>
      <c r="F15" s="245"/>
      <c r="G15" s="313"/>
      <c r="H15" s="16"/>
    </row>
    <row r="16" spans="2:16" s="4" customFormat="1" x14ac:dyDescent="0.3">
      <c r="B16" s="232" t="s">
        <v>1155</v>
      </c>
      <c r="C16" s="233" t="s">
        <v>346</v>
      </c>
      <c r="D16" s="114">
        <f>[4]Ipswich!E18</f>
        <v>3307</v>
      </c>
      <c r="E16" s="114">
        <f>[5]Ipswich!D19</f>
        <v>6000</v>
      </c>
      <c r="F16" s="114">
        <f t="shared" ref="F16:F18" si="3">D16-E16</f>
        <v>-2693</v>
      </c>
      <c r="G16" s="320">
        <f t="shared" ref="G16:G18" si="4">ROUND((E16/D16),4)</f>
        <v>1.8143</v>
      </c>
      <c r="H16" s="16"/>
    </row>
    <row r="17" spans="2:18" s="4" customFormat="1" x14ac:dyDescent="0.3">
      <c r="B17" s="232" t="s">
        <v>1156</v>
      </c>
      <c r="C17" s="233" t="s">
        <v>347</v>
      </c>
      <c r="D17" s="114">
        <f>[4]Ipswich!E19</f>
        <v>12543</v>
      </c>
      <c r="E17" s="114">
        <f>[5]Ipswich!D20</f>
        <v>4500</v>
      </c>
      <c r="F17" s="114">
        <f t="shared" si="3"/>
        <v>8043</v>
      </c>
      <c r="G17" s="234">
        <f t="shared" si="4"/>
        <v>0.35880000000000001</v>
      </c>
      <c r="H17" s="16"/>
      <c r="N17" s="4" t="s">
        <v>1377</v>
      </c>
      <c r="O17" s="4" t="s">
        <v>1378</v>
      </c>
    </row>
    <row r="18" spans="2:18" s="4" customFormat="1" x14ac:dyDescent="0.3">
      <c r="B18" s="315" t="s">
        <v>1157</v>
      </c>
      <c r="C18" s="247" t="s">
        <v>348</v>
      </c>
      <c r="D18" s="114">
        <f>[4]Ipswich!E20</f>
        <v>20948</v>
      </c>
      <c r="E18" s="114">
        <f>[5]Ipswich!D21</f>
        <v>7000</v>
      </c>
      <c r="F18" s="145">
        <f t="shared" si="3"/>
        <v>13948</v>
      </c>
      <c r="G18" s="231">
        <f t="shared" si="4"/>
        <v>0.3342</v>
      </c>
      <c r="H18" s="16"/>
      <c r="N18" s="4" t="s">
        <v>1377</v>
      </c>
      <c r="O18" s="4" t="s">
        <v>1378</v>
      </c>
    </row>
    <row r="19" spans="2:18" s="3" customFormat="1" ht="14.5" thickBot="1" x14ac:dyDescent="0.35">
      <c r="B19" s="225" t="s">
        <v>1158</v>
      </c>
      <c r="C19" s="226" t="s">
        <v>349</v>
      </c>
      <c r="D19" s="109">
        <f>SUM(D16:D18)</f>
        <v>36798</v>
      </c>
      <c r="E19" s="109">
        <f>SUM(E16:E18)</f>
        <v>17500</v>
      </c>
      <c r="F19" s="109">
        <f t="shared" si="0"/>
        <v>19298</v>
      </c>
      <c r="G19" s="227">
        <f t="shared" si="1"/>
        <v>0.47560000000000002</v>
      </c>
      <c r="H19" s="14">
        <f t="shared" si="2"/>
        <v>0.47560000000000002</v>
      </c>
    </row>
    <row r="20" spans="2:18" s="4" customFormat="1" ht="14.25" customHeight="1" x14ac:dyDescent="0.3">
      <c r="B20" s="315"/>
      <c r="C20" s="240"/>
      <c r="D20" s="245"/>
      <c r="E20" s="245"/>
      <c r="F20" s="245"/>
      <c r="G20" s="317"/>
      <c r="H20" s="16"/>
    </row>
    <row r="21" spans="2:18" s="3" customFormat="1" ht="14.5" thickBot="1" x14ac:dyDescent="0.35">
      <c r="B21" s="225" t="s">
        <v>1159</v>
      </c>
      <c r="C21" s="226" t="s">
        <v>350</v>
      </c>
      <c r="D21" s="109">
        <f>[4]Ipswich!$E$23</f>
        <v>72892</v>
      </c>
      <c r="E21" s="109">
        <f>[5]Ipswich!$D$24</f>
        <v>40496</v>
      </c>
      <c r="F21" s="109">
        <f t="shared" si="0"/>
        <v>32396</v>
      </c>
      <c r="G21" s="227">
        <f t="shared" si="1"/>
        <v>0.55559999999999998</v>
      </c>
      <c r="H21" s="220">
        <f t="shared" si="2"/>
        <v>0.55559999999999998</v>
      </c>
      <c r="N21" s="4" t="s">
        <v>1381</v>
      </c>
      <c r="O21" s="4" t="s">
        <v>1378</v>
      </c>
      <c r="P21" s="4"/>
    </row>
    <row r="22" spans="2:18" s="4" customFormat="1" ht="14.25" customHeight="1" x14ac:dyDescent="0.3">
      <c r="B22" s="315"/>
      <c r="C22" s="233"/>
      <c r="D22" s="114"/>
      <c r="E22" s="114"/>
      <c r="F22" s="114"/>
      <c r="G22" s="317"/>
      <c r="H22" s="16"/>
    </row>
    <row r="23" spans="2:18" s="3" customFormat="1" ht="14.5" thickBot="1" x14ac:dyDescent="0.35">
      <c r="B23" s="225" t="s">
        <v>1160</v>
      </c>
      <c r="C23" s="226" t="s">
        <v>351</v>
      </c>
      <c r="D23" s="109">
        <f>[4]Ipswich!$E$25</f>
        <v>59268</v>
      </c>
      <c r="E23" s="109">
        <f>[5]Ipswich!$D$26</f>
        <v>14817</v>
      </c>
      <c r="F23" s="109">
        <f t="shared" si="0"/>
        <v>44451</v>
      </c>
      <c r="G23" s="227">
        <f t="shared" si="1"/>
        <v>0.25</v>
      </c>
      <c r="H23" s="14">
        <f t="shared" si="2"/>
        <v>0.25</v>
      </c>
      <c r="N23" s="4" t="s">
        <v>1381</v>
      </c>
      <c r="O23" s="4" t="s">
        <v>1378</v>
      </c>
      <c r="P23" s="4"/>
    </row>
    <row r="24" spans="2:18" s="4" customFormat="1" ht="14.25" customHeight="1" x14ac:dyDescent="0.3">
      <c r="B24" s="316"/>
      <c r="C24" s="240"/>
      <c r="D24" s="245"/>
      <c r="E24" s="245"/>
      <c r="F24" s="245"/>
      <c r="G24" s="313"/>
      <c r="H24" s="16"/>
    </row>
    <row r="25" spans="2:18" s="3" customFormat="1" ht="14.5" thickBot="1" x14ac:dyDescent="0.35">
      <c r="B25" s="534" t="s">
        <v>1161</v>
      </c>
      <c r="C25" s="226" t="s">
        <v>352</v>
      </c>
      <c r="D25" s="109">
        <f>[4]Ipswich!$E$27</f>
        <v>21000</v>
      </c>
      <c r="E25" s="109">
        <f>[5]Ipswich!$D$28</f>
        <v>22500</v>
      </c>
      <c r="F25" s="109">
        <f t="shared" si="0"/>
        <v>-1500</v>
      </c>
      <c r="G25" s="227">
        <f t="shared" si="1"/>
        <v>1.0713999999999999</v>
      </c>
      <c r="H25" s="14">
        <f t="shared" si="2"/>
        <v>1.0713999999999999</v>
      </c>
      <c r="N25" s="4" t="s">
        <v>1377</v>
      </c>
      <c r="O25" s="4" t="s">
        <v>1378</v>
      </c>
    </row>
    <row r="26" spans="2:18" s="4" customFormat="1" ht="14.25" customHeight="1" x14ac:dyDescent="0.3">
      <c r="B26" s="316"/>
      <c r="C26" s="240"/>
      <c r="D26" s="245"/>
      <c r="E26" s="245"/>
      <c r="F26" s="245"/>
      <c r="G26" s="313"/>
      <c r="H26" s="16"/>
    </row>
    <row r="27" spans="2:18" s="4" customFormat="1" x14ac:dyDescent="0.3">
      <c r="B27" s="238" t="s">
        <v>1162</v>
      </c>
      <c r="C27" s="233" t="s">
        <v>353</v>
      </c>
      <c r="D27" s="114">
        <v>0</v>
      </c>
      <c r="E27" s="114">
        <f>[5]Ipswich!D30</f>
        <v>4900</v>
      </c>
      <c r="F27" s="114"/>
      <c r="G27" s="188"/>
      <c r="H27" s="16"/>
      <c r="N27" s="4" t="s">
        <v>1381</v>
      </c>
      <c r="O27" s="4" t="s">
        <v>1382</v>
      </c>
      <c r="P27" s="4" t="s">
        <v>1379</v>
      </c>
    </row>
    <row r="28" spans="2:18" s="4" customFormat="1" x14ac:dyDescent="0.3">
      <c r="B28" s="232" t="s">
        <v>1397</v>
      </c>
      <c r="C28" s="233" t="s">
        <v>354</v>
      </c>
      <c r="D28" s="114">
        <v>0</v>
      </c>
      <c r="E28" s="114">
        <f>[5]Ipswich!D31</f>
        <v>40917</v>
      </c>
      <c r="F28" s="114"/>
      <c r="G28" s="234"/>
      <c r="H28" s="16"/>
      <c r="N28" s="4" t="s">
        <v>1381</v>
      </c>
      <c r="O28" s="4" t="s">
        <v>1382</v>
      </c>
      <c r="P28" s="4" t="s">
        <v>1379</v>
      </c>
    </row>
    <row r="29" spans="2:18" s="4" customFormat="1" x14ac:dyDescent="0.3">
      <c r="B29" s="238" t="s">
        <v>1163</v>
      </c>
      <c r="C29" s="233" t="s">
        <v>355</v>
      </c>
      <c r="D29" s="114">
        <v>0</v>
      </c>
      <c r="E29" s="114">
        <f>[5]Ipswich!D32</f>
        <v>3500</v>
      </c>
      <c r="F29" s="114"/>
      <c r="G29" s="188"/>
      <c r="H29" s="16"/>
      <c r="N29" s="4" t="s">
        <v>1381</v>
      </c>
      <c r="O29" s="4" t="s">
        <v>1382</v>
      </c>
      <c r="P29" s="4" t="s">
        <v>1379</v>
      </c>
    </row>
    <row r="30" spans="2:18" s="4" customFormat="1" x14ac:dyDescent="0.3">
      <c r="B30" s="232"/>
      <c r="C30" s="172" t="s">
        <v>618</v>
      </c>
      <c r="D30" s="114">
        <f>-25487</f>
        <v>-25487</v>
      </c>
      <c r="E30" s="114">
        <f>[6]Ipswich!D33</f>
        <v>0</v>
      </c>
      <c r="F30" s="114">
        <f>D30</f>
        <v>-25487</v>
      </c>
      <c r="G30" s="234"/>
      <c r="H30" s="16"/>
    </row>
    <row r="31" spans="2:18" s="3" customFormat="1" ht="14.5" thickBot="1" x14ac:dyDescent="0.35">
      <c r="B31" s="225" t="s">
        <v>1164</v>
      </c>
      <c r="C31" s="226" t="s">
        <v>356</v>
      </c>
      <c r="D31" s="109">
        <f>[4]Ipswich!$E$33+D30</f>
        <v>101575</v>
      </c>
      <c r="E31" s="109">
        <f>SUM(E27:E29)</f>
        <v>49317</v>
      </c>
      <c r="F31" s="109">
        <f t="shared" si="0"/>
        <v>52258</v>
      </c>
      <c r="G31" s="227">
        <f t="shared" si="1"/>
        <v>0.48549999999999999</v>
      </c>
      <c r="H31" s="14">
        <f t="shared" si="2"/>
        <v>0.48549999999999999</v>
      </c>
      <c r="R31" s="4"/>
    </row>
    <row r="32" spans="2:18" s="4" customFormat="1" ht="14.25" customHeight="1" x14ac:dyDescent="0.3">
      <c r="B32" s="244"/>
      <c r="C32" s="240"/>
      <c r="D32" s="289"/>
      <c r="E32" s="245"/>
      <c r="F32" s="245"/>
      <c r="G32" s="313"/>
      <c r="H32" s="16"/>
    </row>
    <row r="33" spans="2:16" s="4" customFormat="1" x14ac:dyDescent="0.3">
      <c r="B33" s="602" t="s">
        <v>1165</v>
      </c>
      <c r="C33" s="603" t="s">
        <v>357</v>
      </c>
      <c r="D33" s="633">
        <f>[4]Ipswich!$E$35</f>
        <v>50759</v>
      </c>
      <c r="E33" s="604">
        <f>[5]Ipswich!$D$36</f>
        <v>15925</v>
      </c>
      <c r="F33" s="604">
        <f t="shared" si="0"/>
        <v>34834</v>
      </c>
      <c r="G33" s="234">
        <f t="shared" si="1"/>
        <v>0.31369999999999998</v>
      </c>
      <c r="H33" s="16"/>
      <c r="N33" s="4" t="s">
        <v>1384</v>
      </c>
      <c r="O33" s="4" t="s">
        <v>1382</v>
      </c>
      <c r="P33" s="4" t="s">
        <v>1379</v>
      </c>
    </row>
    <row r="34" spans="2:16" s="4" customFormat="1" x14ac:dyDescent="0.3">
      <c r="B34" s="232"/>
      <c r="C34" s="172" t="s">
        <v>618</v>
      </c>
      <c r="D34" s="114">
        <f>[4]Ipswich!$E$60</f>
        <v>-17759</v>
      </c>
      <c r="E34" s="114"/>
      <c r="F34" s="114">
        <f t="shared" si="0"/>
        <v>-17759</v>
      </c>
      <c r="G34" s="234"/>
      <c r="H34" s="16"/>
    </row>
    <row r="35" spans="2:16" s="3" customFormat="1" ht="14.5" thickBot="1" x14ac:dyDescent="0.35">
      <c r="B35" s="225"/>
      <c r="C35" s="226" t="s">
        <v>357</v>
      </c>
      <c r="D35" s="109">
        <f>SUM(D33:D34)</f>
        <v>33000</v>
      </c>
      <c r="E35" s="109">
        <f>SUM(E33:E33)</f>
        <v>15925</v>
      </c>
      <c r="F35" s="109">
        <f t="shared" si="0"/>
        <v>17075</v>
      </c>
      <c r="G35" s="227">
        <f t="shared" si="1"/>
        <v>0.48259999999999997</v>
      </c>
      <c r="H35" s="14">
        <f t="shared" si="2"/>
        <v>0.48259999999999997</v>
      </c>
    </row>
    <row r="36" spans="2:16" s="4" customFormat="1" ht="14.25" customHeight="1" x14ac:dyDescent="0.3">
      <c r="B36" s="315"/>
      <c r="C36" s="233"/>
      <c r="D36" s="114"/>
      <c r="E36" s="114"/>
      <c r="F36" s="114"/>
      <c r="G36" s="317"/>
      <c r="H36" s="16"/>
    </row>
    <row r="37" spans="2:16" s="3" customFormat="1" ht="14.5" thickBot="1" x14ac:dyDescent="0.35">
      <c r="B37" s="225" t="s">
        <v>1166</v>
      </c>
      <c r="C37" s="226" t="s">
        <v>358</v>
      </c>
      <c r="D37" s="109">
        <f>[4]Ipswich!$E$38</f>
        <v>68772</v>
      </c>
      <c r="E37" s="109">
        <f>[5]Ipswich!$D$40</f>
        <v>40117</v>
      </c>
      <c r="F37" s="109">
        <f t="shared" si="0"/>
        <v>28655</v>
      </c>
      <c r="G37" s="227">
        <f t="shared" si="1"/>
        <v>0.58330000000000004</v>
      </c>
      <c r="H37" s="220">
        <f t="shared" si="2"/>
        <v>0.58330000000000004</v>
      </c>
      <c r="N37" s="4" t="s">
        <v>1384</v>
      </c>
      <c r="O37" s="4" t="s">
        <v>1382</v>
      </c>
      <c r="P37" s="4" t="s">
        <v>1379</v>
      </c>
    </row>
    <row r="38" spans="2:16" s="4" customFormat="1" ht="14.25" customHeight="1" x14ac:dyDescent="0.3">
      <c r="B38" s="232"/>
      <c r="C38" s="240"/>
      <c r="D38" s="245"/>
      <c r="E38" s="245"/>
      <c r="F38" s="245"/>
      <c r="G38" s="313"/>
      <c r="H38" s="16"/>
    </row>
    <row r="39" spans="2:16" s="3" customFormat="1" x14ac:dyDescent="0.3">
      <c r="B39" s="602" t="s">
        <v>1167</v>
      </c>
      <c r="C39" s="233" t="s">
        <v>359</v>
      </c>
      <c r="D39" s="114">
        <f>[4]Ipswich!$E$40</f>
        <v>121070</v>
      </c>
      <c r="E39" s="114">
        <f>[5]Ipswich!$D$42</f>
        <v>21000</v>
      </c>
      <c r="F39" s="114">
        <f t="shared" si="0"/>
        <v>100070</v>
      </c>
      <c r="G39" s="234">
        <f t="shared" si="1"/>
        <v>0.17349999999999999</v>
      </c>
      <c r="H39" s="16"/>
      <c r="N39" s="4" t="s">
        <v>1384</v>
      </c>
      <c r="O39" s="4" t="s">
        <v>1382</v>
      </c>
      <c r="P39" s="4" t="s">
        <v>1379</v>
      </c>
    </row>
    <row r="40" spans="2:16" s="3" customFormat="1" x14ac:dyDescent="0.3">
      <c r="B40" s="232"/>
      <c r="C40" s="172" t="s">
        <v>618</v>
      </c>
      <c r="D40" s="114">
        <v>-42599</v>
      </c>
      <c r="E40" s="114"/>
      <c r="F40" s="114">
        <f t="shared" si="0"/>
        <v>-42599</v>
      </c>
      <c r="G40" s="235"/>
      <c r="H40" s="16"/>
      <c r="N40" s="4"/>
      <c r="O40" s="4"/>
      <c r="P40" s="4"/>
    </row>
    <row r="41" spans="2:16" s="3" customFormat="1" ht="14.5" thickBot="1" x14ac:dyDescent="0.35">
      <c r="B41" s="225"/>
      <c r="C41" s="226" t="s">
        <v>359</v>
      </c>
      <c r="D41" s="109">
        <f>SUM(D39:D40)</f>
        <v>78471</v>
      </c>
      <c r="E41" s="109">
        <f>SUM(E39:E39)</f>
        <v>21000</v>
      </c>
      <c r="F41" s="109">
        <f t="shared" ref="F41" si="5">D41-E41</f>
        <v>57471</v>
      </c>
      <c r="G41" s="227">
        <f t="shared" si="1"/>
        <v>0.2676</v>
      </c>
      <c r="H41" s="14">
        <f t="shared" si="2"/>
        <v>0.2676</v>
      </c>
      <c r="N41" s="4"/>
      <c r="O41" s="4"/>
      <c r="P41" s="4"/>
    </row>
    <row r="42" spans="2:16" s="4" customFormat="1" ht="14.25" customHeight="1" x14ac:dyDescent="0.3">
      <c r="B42" s="316"/>
      <c r="C42" s="240"/>
      <c r="D42" s="245"/>
      <c r="E42" s="245"/>
      <c r="F42" s="245"/>
      <c r="G42" s="313"/>
      <c r="H42" s="16"/>
    </row>
    <row r="43" spans="2:16" s="4" customFormat="1" ht="14.5" thickBot="1" x14ac:dyDescent="0.35">
      <c r="B43" s="225" t="s">
        <v>1168</v>
      </c>
      <c r="C43" s="226" t="s">
        <v>361</v>
      </c>
      <c r="D43" s="109">
        <f>[4]Ipswich!$E$43</f>
        <v>27000</v>
      </c>
      <c r="E43" s="109">
        <f>[5]Ipswich!$D$46</f>
        <v>16000</v>
      </c>
      <c r="F43" s="109">
        <f t="shared" si="0"/>
        <v>11000</v>
      </c>
      <c r="G43" s="227">
        <f t="shared" si="1"/>
        <v>0.59260000000000002</v>
      </c>
      <c r="H43" s="16"/>
      <c r="N43" s="4" t="s">
        <v>1381</v>
      </c>
      <c r="O43" s="4" t="s">
        <v>1378</v>
      </c>
      <c r="P43" s="4" t="s">
        <v>1379</v>
      </c>
    </row>
    <row r="44" spans="2:16" s="3" customFormat="1" ht="14.5" thickBot="1" x14ac:dyDescent="0.35">
      <c r="B44" s="225"/>
      <c r="C44" s="226" t="s">
        <v>361</v>
      </c>
      <c r="D44" s="109">
        <f>SUM(D43:D43)</f>
        <v>27000</v>
      </c>
      <c r="E44" s="109">
        <f>SUM(E43:E43)</f>
        <v>16000</v>
      </c>
      <c r="F44" s="109">
        <f t="shared" si="0"/>
        <v>11000</v>
      </c>
      <c r="G44" s="227">
        <f t="shared" si="1"/>
        <v>0.59260000000000002</v>
      </c>
      <c r="H44" s="220">
        <f t="shared" si="2"/>
        <v>0.59260000000000002</v>
      </c>
    </row>
    <row r="45" spans="2:16" s="4" customFormat="1" ht="14.25" customHeight="1" x14ac:dyDescent="0.3">
      <c r="B45" s="316"/>
      <c r="C45" s="240"/>
      <c r="D45" s="245"/>
      <c r="E45" s="245"/>
      <c r="F45" s="245"/>
      <c r="G45" s="313"/>
      <c r="H45" s="16"/>
    </row>
    <row r="46" spans="2:16" s="3" customFormat="1" ht="14.5" thickBot="1" x14ac:dyDescent="0.35">
      <c r="B46" s="225" t="s">
        <v>1169</v>
      </c>
      <c r="C46" s="226" t="s">
        <v>360</v>
      </c>
      <c r="D46" s="109">
        <f>[4]Ipswich!$E$48</f>
        <v>54748</v>
      </c>
      <c r="E46" s="109">
        <f>[5]Ipswich!$D$49</f>
        <v>14124</v>
      </c>
      <c r="F46" s="109">
        <f t="shared" si="0"/>
        <v>40624</v>
      </c>
      <c r="G46" s="227">
        <f t="shared" si="1"/>
        <v>0.25800000000000001</v>
      </c>
      <c r="H46" s="220">
        <f t="shared" si="2"/>
        <v>0.25800000000000001</v>
      </c>
      <c r="N46" s="4" t="s">
        <v>1381</v>
      </c>
      <c r="O46" s="4" t="s">
        <v>1378</v>
      </c>
      <c r="P46" s="4" t="s">
        <v>1379</v>
      </c>
    </row>
    <row r="47" spans="2:16" s="4" customFormat="1" ht="14.25" customHeight="1" x14ac:dyDescent="0.3">
      <c r="B47" s="315"/>
      <c r="C47" s="233"/>
      <c r="D47" s="114"/>
      <c r="E47" s="114"/>
      <c r="F47" s="114"/>
      <c r="G47" s="317"/>
    </row>
    <row r="48" spans="2:16" s="4" customFormat="1" ht="14.5" thickBot="1" x14ac:dyDescent="0.35">
      <c r="B48" s="318"/>
      <c r="C48" s="226" t="s">
        <v>619</v>
      </c>
      <c r="D48" s="109">
        <f>SUM(D46,D44,D39,D37,D33,D25,D23,D21,D19,D14,D12,D10,D8,D31)-D30</f>
        <v>881875</v>
      </c>
      <c r="E48" s="109">
        <f>SUM(E46,E44,E39,E37,E33,E25,E23,E21,E19,E14,E12,E10,E8,E31)-E30</f>
        <v>341168</v>
      </c>
      <c r="F48" s="109">
        <f>D48-E48</f>
        <v>540707</v>
      </c>
      <c r="G48" s="224">
        <f>ROUND((E48/D48),4)</f>
        <v>0.38690000000000002</v>
      </c>
    </row>
    <row r="49" spans="2:7" s="4" customFormat="1" x14ac:dyDescent="0.3">
      <c r="B49" s="232"/>
      <c r="C49" s="284"/>
      <c r="D49" s="236"/>
      <c r="E49" s="236"/>
      <c r="F49" s="236"/>
      <c r="G49" s="237"/>
    </row>
    <row r="50" spans="2:7" s="4" customFormat="1" x14ac:dyDescent="0.3">
      <c r="B50" s="232"/>
      <c r="C50" s="284" t="s">
        <v>1614</v>
      </c>
      <c r="D50" s="236">
        <f>D40+D34+D30</f>
        <v>-85845</v>
      </c>
      <c r="E50" s="236"/>
      <c r="F50" s="236">
        <f>F40+F34+F30</f>
        <v>-85845</v>
      </c>
      <c r="G50" s="237"/>
    </row>
    <row r="51" spans="2:7" s="4" customFormat="1" x14ac:dyDescent="0.3">
      <c r="B51" s="232"/>
      <c r="C51" s="284"/>
      <c r="D51" s="236"/>
      <c r="E51" s="236"/>
      <c r="F51" s="236"/>
      <c r="G51" s="237"/>
    </row>
    <row r="52" spans="2:7" s="4" customFormat="1" x14ac:dyDescent="0.3">
      <c r="B52" s="232"/>
      <c r="C52" s="284" t="s">
        <v>1396</v>
      </c>
      <c r="D52" s="236">
        <f>[4]Ipswich!$E$53</f>
        <v>-12913</v>
      </c>
      <c r="E52" s="236"/>
      <c r="F52" s="236">
        <f>D52</f>
        <v>-12913</v>
      </c>
      <c r="G52" s="237"/>
    </row>
    <row r="53" spans="2:7" s="4" customFormat="1" x14ac:dyDescent="0.3">
      <c r="B53" s="315"/>
      <c r="C53" s="284"/>
      <c r="D53" s="236"/>
      <c r="E53" s="236"/>
      <c r="F53" s="236"/>
      <c r="G53" s="237"/>
    </row>
    <row r="54" spans="2:7" s="3" customFormat="1" ht="14.5" thickBot="1" x14ac:dyDescent="0.35">
      <c r="B54" s="319"/>
      <c r="C54" s="226" t="s">
        <v>1543</v>
      </c>
      <c r="D54" s="109">
        <f>D48+D52+D30+D34+D40</f>
        <v>783117</v>
      </c>
      <c r="E54" s="109">
        <f>E48+E52</f>
        <v>341168</v>
      </c>
      <c r="F54" s="109">
        <f>F48+F52+F30+F34+F40</f>
        <v>441949</v>
      </c>
      <c r="G54" s="224">
        <f>E54/D54</f>
        <v>0.43565393166027555</v>
      </c>
    </row>
    <row r="55" spans="2:7" s="4" customFormat="1" ht="14.25" customHeight="1" x14ac:dyDescent="0.3">
      <c r="B55" s="316"/>
      <c r="C55" s="233"/>
      <c r="D55" s="114"/>
      <c r="E55" s="114"/>
      <c r="F55" s="114"/>
      <c r="G55" s="320"/>
    </row>
    <row r="56" spans="2:7" s="4" customFormat="1" ht="14.5" thickBot="1" x14ac:dyDescent="0.35">
      <c r="B56" s="318"/>
      <c r="C56" s="226" t="s">
        <v>1630</v>
      </c>
      <c r="D56" s="109">
        <f>[8]Ipswich!$D$56</f>
        <v>764357</v>
      </c>
      <c r="E56" s="109">
        <f>[5]Summary!$C$30</f>
        <v>343088</v>
      </c>
      <c r="F56" s="109">
        <f>D56-E56</f>
        <v>421269</v>
      </c>
      <c r="G56" s="224">
        <f>E56/D56</f>
        <v>0.44885832143880411</v>
      </c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/>
    <row r="60" spans="2:7" s="4" customFormat="1" x14ac:dyDescent="0.3"/>
    <row r="61" spans="2:7" s="4" customFormat="1" x14ac:dyDescent="0.3"/>
    <row r="62" spans="2:7" s="4" customFormat="1" x14ac:dyDescent="0.3"/>
    <row r="63" spans="2:7" s="4" customFormat="1" x14ac:dyDescent="0.3">
      <c r="G63" s="9"/>
    </row>
    <row r="64" spans="2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</sheetData>
  <mergeCells count="1">
    <mergeCell ref="D4:E4"/>
  </mergeCells>
  <pageMargins left="0.31496062992125984" right="0.31496062992125984" top="0.35433070866141736" bottom="0.35433070866141736" header="0.31496062992125984" footer="0.31496062992125984"/>
  <pageSetup paperSize="9" scale="83" orientation="portrait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463"/>
  <sheetViews>
    <sheetView topLeftCell="A244" zoomScaleNormal="100" workbookViewId="0">
      <selection activeCell="B260" sqref="B260"/>
    </sheetView>
  </sheetViews>
  <sheetFormatPr defaultColWidth="9" defaultRowHeight="14" x14ac:dyDescent="0.3"/>
  <cols>
    <col min="1" max="1" width="10.83203125" style="43" customWidth="1"/>
    <col min="2" max="2" width="88.58203125" style="43" customWidth="1"/>
    <col min="3" max="3" width="25.83203125" style="353" customWidth="1"/>
    <col min="4" max="4" width="11.83203125" style="43" customWidth="1"/>
    <col min="5" max="5" width="16.25" style="46" customWidth="1"/>
    <col min="6" max="6" width="2.33203125" style="54" customWidth="1"/>
    <col min="7" max="7" width="9" style="43"/>
    <col min="8" max="8" width="12.58203125" style="43" customWidth="1"/>
    <col min="9" max="9" width="3.33203125" style="43" customWidth="1"/>
    <col min="10" max="10" width="74.08203125" style="43" customWidth="1"/>
    <col min="11" max="11" width="11.25" style="43" customWidth="1"/>
    <col min="12" max="16384" width="9" style="43"/>
  </cols>
  <sheetData>
    <row r="1" spans="1:84" s="53" customFormat="1" x14ac:dyDescent="0.3">
      <c r="A1" s="395" t="s">
        <v>1388</v>
      </c>
      <c r="B1" s="396" t="s">
        <v>621</v>
      </c>
      <c r="C1" s="521" t="s">
        <v>622</v>
      </c>
      <c r="D1" s="358" t="s">
        <v>1591</v>
      </c>
      <c r="E1" s="358" t="s">
        <v>1592</v>
      </c>
      <c r="F1" s="357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</row>
    <row r="2" spans="1:84" s="53" customFormat="1" ht="14.5" x14ac:dyDescent="0.35">
      <c r="A2" s="503" t="str">
        <f t="shared" ref="A2:A50" si="0">LEFT(B2,FIND(" ",B2,1))</f>
        <v xml:space="preserve">P330232 </v>
      </c>
      <c r="B2" s="547" t="s">
        <v>735</v>
      </c>
      <c r="C2" s="450">
        <v>54865</v>
      </c>
      <c r="D2" s="450">
        <v>13000</v>
      </c>
      <c r="E2" s="450">
        <f>XledgerData[[#This Row],[Column1]]+XledgerData[[#This Row],[Year to date]]</f>
        <v>67865</v>
      </c>
      <c r="F2" s="359"/>
      <c r="G2" s="46"/>
      <c r="H2" s="46"/>
      <c r="I2" s="46"/>
      <c r="J2" s="331"/>
      <c r="K2" s="35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</row>
    <row r="3" spans="1:84" ht="14.5" x14ac:dyDescent="0.35">
      <c r="A3" s="501" t="str">
        <f t="shared" si="0"/>
        <v xml:space="preserve">P330183 </v>
      </c>
      <c r="B3" s="568" t="s">
        <v>1421</v>
      </c>
      <c r="C3" s="455">
        <v>11500</v>
      </c>
      <c r="D3" s="455">
        <v>8500</v>
      </c>
      <c r="E3" s="455">
        <f>XledgerData[[#This Row],[Column1]]+XledgerData[[#This Row],[Year to date]]</f>
        <v>20000</v>
      </c>
      <c r="F3" s="359"/>
      <c r="G3" s="46"/>
      <c r="H3" s="46"/>
      <c r="I3" s="46"/>
      <c r="J3" s="391"/>
      <c r="K3" s="482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</row>
    <row r="4" spans="1:84" ht="14.5" x14ac:dyDescent="0.35">
      <c r="A4" s="385" t="str">
        <f t="shared" si="0"/>
        <v xml:space="preserve">P330272 </v>
      </c>
      <c r="B4" s="545" t="s">
        <v>750</v>
      </c>
      <c r="C4" s="403">
        <v>23000</v>
      </c>
      <c r="D4" s="403">
        <f>8000+625</f>
        <v>8625</v>
      </c>
      <c r="E4" s="403">
        <f>XledgerData[[#This Row],[Column1]]+XledgerData[[#This Row],[Year to date]]</f>
        <v>31625</v>
      </c>
      <c r="F4" s="359"/>
      <c r="G4" s="335"/>
      <c r="H4" s="43" t="s">
        <v>16</v>
      </c>
      <c r="J4" s="391"/>
      <c r="K4" s="482"/>
    </row>
    <row r="5" spans="1:84" ht="14.5" x14ac:dyDescent="0.35">
      <c r="A5" s="366" t="str">
        <f t="shared" si="0"/>
        <v xml:space="preserve">P330291 </v>
      </c>
      <c r="B5" s="519" t="s">
        <v>761</v>
      </c>
      <c r="C5" s="404">
        <v>11000</v>
      </c>
      <c r="D5" s="404">
        <v>6500</v>
      </c>
      <c r="E5" s="404">
        <f>XledgerData[[#This Row],[Column1]]+XledgerData[[#This Row],[Year to date]]</f>
        <v>17500</v>
      </c>
      <c r="F5" s="359"/>
      <c r="G5" s="336"/>
      <c r="H5" s="43" t="s">
        <v>15</v>
      </c>
      <c r="J5" s="391"/>
      <c r="K5" s="482"/>
    </row>
    <row r="6" spans="1:84" ht="14.5" x14ac:dyDescent="0.35">
      <c r="A6" s="501" t="str">
        <f t="shared" si="0"/>
        <v xml:space="preserve">P330180 </v>
      </c>
      <c r="B6" s="568" t="s">
        <v>716</v>
      </c>
      <c r="C6" s="455">
        <v>21500</v>
      </c>
      <c r="D6" s="455">
        <f>5000+3500</f>
        <v>8500</v>
      </c>
      <c r="E6" s="455">
        <f>XledgerData[[#This Row],[Column1]]+XledgerData[[#This Row],[Year to date]]</f>
        <v>30000</v>
      </c>
      <c r="F6" s="359"/>
      <c r="G6" s="337"/>
      <c r="H6" s="43" t="s">
        <v>20</v>
      </c>
      <c r="J6" s="391"/>
      <c r="K6" s="482"/>
    </row>
    <row r="7" spans="1:84" ht="14.5" x14ac:dyDescent="0.35">
      <c r="A7" s="490" t="str">
        <f t="shared" si="0"/>
        <v xml:space="preserve">P330127 </v>
      </c>
      <c r="B7" s="548" t="s">
        <v>689</v>
      </c>
      <c r="C7" s="489">
        <v>31727</v>
      </c>
      <c r="D7" s="489">
        <v>4913</v>
      </c>
      <c r="E7" s="489">
        <f>XledgerData[[#This Row],[Column1]]+XledgerData[[#This Row],[Year to date]]</f>
        <v>36640</v>
      </c>
      <c r="F7" s="359"/>
      <c r="G7" s="338"/>
      <c r="H7" s="46" t="s">
        <v>1589</v>
      </c>
      <c r="J7" s="391"/>
      <c r="K7" s="482"/>
    </row>
    <row r="8" spans="1:84" ht="14.5" x14ac:dyDescent="0.35">
      <c r="A8" s="485" t="str">
        <f t="shared" si="0"/>
        <v xml:space="preserve">P330292 </v>
      </c>
      <c r="B8" s="538" t="s">
        <v>762</v>
      </c>
      <c r="C8" s="487">
        <v>15699</v>
      </c>
      <c r="D8" s="487">
        <v>4000</v>
      </c>
      <c r="E8" s="487">
        <f>XledgerData[[#This Row],[Column1]]+XledgerData[[#This Row],[Year to date]]</f>
        <v>19699</v>
      </c>
      <c r="F8" s="359"/>
      <c r="G8" s="339"/>
      <c r="H8" s="46" t="s">
        <v>13</v>
      </c>
      <c r="J8" s="391"/>
      <c r="K8" s="482"/>
    </row>
    <row r="9" spans="1:84" ht="14.5" x14ac:dyDescent="0.35">
      <c r="A9" s="467" t="str">
        <f t="shared" si="0"/>
        <v xml:space="preserve">P330010 </v>
      </c>
      <c r="B9" s="569" t="s">
        <v>1401</v>
      </c>
      <c r="C9" s="469">
        <v>9485</v>
      </c>
      <c r="D9" s="469">
        <v>3000</v>
      </c>
      <c r="E9" s="469">
        <f>XledgerData[[#This Row],[Column1]]+XledgerData[[#This Row],[Year to date]]</f>
        <v>12485</v>
      </c>
      <c r="F9" s="359"/>
      <c r="G9" s="340"/>
      <c r="H9" s="46" t="s">
        <v>6</v>
      </c>
      <c r="J9" s="391"/>
      <c r="K9" s="482"/>
    </row>
    <row r="10" spans="1:84" ht="14.5" x14ac:dyDescent="0.35">
      <c r="A10" s="537" t="str">
        <f t="shared" si="0"/>
        <v xml:space="preserve">P330286 </v>
      </c>
      <c r="B10" s="538" t="s">
        <v>758</v>
      </c>
      <c r="C10" s="487">
        <v>54000</v>
      </c>
      <c r="D10" s="487">
        <v>2588</v>
      </c>
      <c r="E10" s="487">
        <f>XledgerData[[#This Row],[Column1]]+XledgerData[[#This Row],[Year to date]]</f>
        <v>56588</v>
      </c>
      <c r="F10" s="359"/>
      <c r="G10" s="382"/>
      <c r="H10" s="46" t="s">
        <v>17</v>
      </c>
      <c r="J10" s="391"/>
      <c r="K10" s="482"/>
    </row>
    <row r="11" spans="1:84" ht="14.5" x14ac:dyDescent="0.35">
      <c r="A11" s="495" t="str">
        <f t="shared" si="0"/>
        <v xml:space="preserve">P330212 </v>
      </c>
      <c r="B11" s="544" t="s">
        <v>1623</v>
      </c>
      <c r="C11" s="497">
        <v>0</v>
      </c>
      <c r="D11" s="497">
        <v>2410</v>
      </c>
      <c r="E11" s="497">
        <f>XledgerData[[#This Row],[Column1]]+XledgerData[[#This Row],[Year to date]]</f>
        <v>2410</v>
      </c>
      <c r="F11" s="359"/>
      <c r="G11" s="342"/>
      <c r="H11" s="46" t="s">
        <v>19</v>
      </c>
      <c r="J11" s="391"/>
      <c r="K11" s="482"/>
    </row>
    <row r="12" spans="1:84" ht="14.5" x14ac:dyDescent="0.35">
      <c r="A12" s="494" t="str">
        <f t="shared" si="0"/>
        <v xml:space="preserve">P330100 </v>
      </c>
      <c r="B12" s="539" t="s">
        <v>672</v>
      </c>
      <c r="C12" s="453">
        <v>7100</v>
      </c>
      <c r="D12" s="453">
        <v>2252</v>
      </c>
      <c r="E12" s="453">
        <f>XledgerData[[#This Row],[Column1]]+XledgerData[[#This Row],[Year to date]]</f>
        <v>9352</v>
      </c>
      <c r="F12" s="359"/>
      <c r="G12" s="343"/>
      <c r="H12" s="46" t="s">
        <v>21</v>
      </c>
      <c r="J12" s="391"/>
      <c r="K12" s="482"/>
    </row>
    <row r="13" spans="1:84" ht="14.5" x14ac:dyDescent="0.35">
      <c r="A13" s="530" t="str">
        <f t="shared" si="0"/>
        <v xml:space="preserve">P330467 </v>
      </c>
      <c r="B13" s="536" t="s">
        <v>835</v>
      </c>
      <c r="C13" s="466">
        <v>5497</v>
      </c>
      <c r="D13" s="466">
        <v>2157</v>
      </c>
      <c r="E13" s="466">
        <f>XledgerData[[#This Row],[Column1]]+XledgerData[[#This Row],[Year to date]]</f>
        <v>7654</v>
      </c>
      <c r="F13" s="359"/>
      <c r="G13" s="344"/>
      <c r="H13" s="46" t="s">
        <v>11</v>
      </c>
      <c r="J13" s="46"/>
      <c r="K13" s="390"/>
    </row>
    <row r="14" spans="1:84" s="46" customFormat="1" ht="14.5" x14ac:dyDescent="0.35">
      <c r="A14" s="495" t="str">
        <f t="shared" si="0"/>
        <v xml:space="preserve">P330196 </v>
      </c>
      <c r="B14" s="544" t="s">
        <v>1484</v>
      </c>
      <c r="C14" s="497">
        <v>6375</v>
      </c>
      <c r="D14" s="497">
        <v>2125</v>
      </c>
      <c r="E14" s="497">
        <f>XledgerData[[#This Row],[Column1]]+XledgerData[[#This Row],[Year to date]]</f>
        <v>8500</v>
      </c>
      <c r="F14" s="359"/>
      <c r="G14" s="345"/>
      <c r="H14" s="46" t="s">
        <v>8</v>
      </c>
      <c r="J14" s="391"/>
      <c r="K14" s="482"/>
    </row>
    <row r="15" spans="1:84" ht="14.5" x14ac:dyDescent="0.35">
      <c r="A15" s="338" t="str">
        <f t="shared" si="0"/>
        <v xml:space="preserve">P330361 </v>
      </c>
      <c r="B15" s="520" t="s">
        <v>1597</v>
      </c>
      <c r="C15" s="406">
        <v>2500</v>
      </c>
      <c r="D15" s="406">
        <f>2000+2000</f>
        <v>4000</v>
      </c>
      <c r="E15" s="406">
        <f>XledgerData[[#This Row],[Column1]]+XledgerData[[#This Row],[Year to date]]</f>
        <v>6500</v>
      </c>
      <c r="F15" s="359"/>
      <c r="G15" s="346"/>
      <c r="H15" s="46" t="s">
        <v>5</v>
      </c>
      <c r="J15" s="391"/>
      <c r="K15" s="482"/>
    </row>
    <row r="16" spans="1:84" ht="14.5" x14ac:dyDescent="0.35">
      <c r="A16" s="393" t="str">
        <f t="shared" si="0"/>
        <v xml:space="preserve">P330214 </v>
      </c>
      <c r="B16" s="535" t="s">
        <v>726</v>
      </c>
      <c r="C16" s="400">
        <v>9000</v>
      </c>
      <c r="D16" s="400">
        <v>2000</v>
      </c>
      <c r="E16" s="400">
        <f>XledgerData[[#This Row],[Column1]]+XledgerData[[#This Row],[Year to date]]</f>
        <v>11000</v>
      </c>
      <c r="F16" s="359"/>
      <c r="G16" s="347"/>
      <c r="H16" s="46" t="s">
        <v>18</v>
      </c>
      <c r="J16" s="391"/>
      <c r="K16" s="482"/>
    </row>
    <row r="17" spans="1:11" ht="14.5" x14ac:dyDescent="0.35">
      <c r="A17" s="463" t="str">
        <f t="shared" si="0"/>
        <v xml:space="preserve">P330365 </v>
      </c>
      <c r="B17" s="570" t="s">
        <v>1495</v>
      </c>
      <c r="C17" s="465">
        <v>12436</v>
      </c>
      <c r="D17" s="465">
        <v>2000</v>
      </c>
      <c r="E17" s="465">
        <f>XledgerData[[#This Row],[Column1]]+XledgerData[[#This Row],[Year to date]]</f>
        <v>14436</v>
      </c>
      <c r="F17" s="359"/>
      <c r="G17" s="348"/>
      <c r="H17" s="46" t="s">
        <v>9</v>
      </c>
      <c r="J17" s="391"/>
      <c r="K17" s="482"/>
    </row>
    <row r="18" spans="1:11" ht="14.5" x14ac:dyDescent="0.35">
      <c r="A18" s="495" t="str">
        <f t="shared" si="0"/>
        <v xml:space="preserve">P330123 </v>
      </c>
      <c r="B18" s="544" t="s">
        <v>1581</v>
      </c>
      <c r="C18" s="497">
        <v>5888</v>
      </c>
      <c r="D18" s="497">
        <v>1963</v>
      </c>
      <c r="E18" s="497">
        <f>XledgerData[[#This Row],[Column1]]+XledgerData[[#This Row],[Year to date]]</f>
        <v>7851</v>
      </c>
      <c r="F18" s="359"/>
      <c r="G18" s="350"/>
      <c r="H18" s="46" t="s">
        <v>23</v>
      </c>
      <c r="J18" s="391"/>
      <c r="K18" s="482"/>
    </row>
    <row r="19" spans="1:11" ht="14.5" x14ac:dyDescent="0.35">
      <c r="A19" s="368" t="str">
        <f t="shared" si="0"/>
        <v xml:space="preserve">P330306 </v>
      </c>
      <c r="B19" s="542" t="s">
        <v>766</v>
      </c>
      <c r="C19" s="405">
        <v>11000</v>
      </c>
      <c r="D19" s="405">
        <v>1000</v>
      </c>
      <c r="E19" s="405">
        <f>XledgerData[[#This Row],[Column1]]+XledgerData[[#This Row],[Year to date]]</f>
        <v>12000</v>
      </c>
      <c r="F19" s="359"/>
      <c r="G19" s="349"/>
      <c r="H19" s="46" t="s">
        <v>7</v>
      </c>
      <c r="J19" s="391"/>
      <c r="K19" s="482"/>
    </row>
    <row r="20" spans="1:11" ht="14.5" x14ac:dyDescent="0.35">
      <c r="A20" s="463" t="str">
        <f t="shared" si="0"/>
        <v xml:space="preserve">P330354 </v>
      </c>
      <c r="B20" s="570" t="s">
        <v>1587</v>
      </c>
      <c r="C20" s="465">
        <v>4000</v>
      </c>
      <c r="D20" s="465">
        <f>893+34</f>
        <v>927</v>
      </c>
      <c r="E20" s="465">
        <f>XledgerData[[#This Row],[Column1]]+XledgerData[[#This Row],[Year to date]]</f>
        <v>4927</v>
      </c>
      <c r="F20" s="359"/>
      <c r="G20" s="351"/>
      <c r="H20" s="46" t="s">
        <v>10</v>
      </c>
      <c r="J20" s="391"/>
      <c r="K20" s="482"/>
    </row>
    <row r="21" spans="1:11" ht="14.5" x14ac:dyDescent="0.35">
      <c r="A21" s="495" t="str">
        <f t="shared" si="0"/>
        <v xml:space="preserve">P330216 </v>
      </c>
      <c r="B21" s="544" t="s">
        <v>1431</v>
      </c>
      <c r="C21" s="497">
        <v>17000</v>
      </c>
      <c r="D21" s="497">
        <f>800+271</f>
        <v>1071</v>
      </c>
      <c r="E21" s="497">
        <f>XledgerData[[#This Row],[Column1]]+XledgerData[[#This Row],[Year to date]]</f>
        <v>18071</v>
      </c>
      <c r="F21" s="359"/>
      <c r="G21" s="352"/>
      <c r="H21" s="46" t="s">
        <v>12</v>
      </c>
      <c r="J21" s="391"/>
      <c r="K21" s="482"/>
    </row>
    <row r="22" spans="1:11" ht="14.5" x14ac:dyDescent="0.35">
      <c r="A22" s="335" t="str">
        <f t="shared" si="0"/>
        <v xml:space="preserve">P330409 </v>
      </c>
      <c r="B22" s="546" t="s">
        <v>1541</v>
      </c>
      <c r="C22" s="407">
        <v>1750</v>
      </c>
      <c r="D22" s="549">
        <v>600</v>
      </c>
      <c r="E22" s="550">
        <f>XledgerData[[#This Row],[Column1]]+XledgerData[[#This Row],[Year to date]]</f>
        <v>2350</v>
      </c>
      <c r="F22" s="359"/>
      <c r="J22" s="391"/>
      <c r="K22" s="482"/>
    </row>
    <row r="23" spans="1:11" ht="14.5" x14ac:dyDescent="0.35">
      <c r="A23" s="470" t="str">
        <f t="shared" si="0"/>
        <v xml:space="preserve">P330444 </v>
      </c>
      <c r="B23" s="541" t="s">
        <v>819</v>
      </c>
      <c r="C23" s="472">
        <v>5513</v>
      </c>
      <c r="D23" s="472">
        <f>501</f>
        <v>501</v>
      </c>
      <c r="E23" s="472">
        <f>XledgerData[[#This Row],[Column1]]+XledgerData[[#This Row],[Year to date]]</f>
        <v>6014</v>
      </c>
      <c r="F23" s="359"/>
      <c r="J23" s="46"/>
      <c r="K23" s="390"/>
    </row>
    <row r="24" spans="1:11" ht="14.5" x14ac:dyDescent="0.35">
      <c r="A24" s="558" t="str">
        <f t="shared" si="0"/>
        <v xml:space="preserve">P330252 </v>
      </c>
      <c r="B24" s="545" t="s">
        <v>1437</v>
      </c>
      <c r="C24" s="403">
        <v>7500</v>
      </c>
      <c r="D24" s="403">
        <f>500+500</f>
        <v>1000</v>
      </c>
      <c r="E24" s="403">
        <f>XledgerData[[#This Row],[Column1]]+XledgerData[[#This Row],[Year to date]]</f>
        <v>8500</v>
      </c>
      <c r="F24" s="359"/>
      <c r="J24" s="391"/>
      <c r="K24" s="482"/>
    </row>
    <row r="25" spans="1:11" ht="14.5" x14ac:dyDescent="0.35">
      <c r="A25" s="551" t="str">
        <f t="shared" si="0"/>
        <v xml:space="preserve">B023 </v>
      </c>
      <c r="B25" s="566" t="s">
        <v>1624</v>
      </c>
      <c r="C25" s="552">
        <v>0</v>
      </c>
      <c r="D25" s="552">
        <v>500</v>
      </c>
      <c r="E25" s="552">
        <f>XledgerData[[#This Row],[Column1]]+XledgerData[[#This Row],[Year to date]]</f>
        <v>500</v>
      </c>
      <c r="F25" s="372"/>
      <c r="J25" s="391"/>
      <c r="K25" s="482"/>
    </row>
    <row r="26" spans="1:11" ht="14.5" x14ac:dyDescent="0.35">
      <c r="A26" s="563" t="str">
        <f t="shared" si="0"/>
        <v xml:space="preserve">P330079 </v>
      </c>
      <c r="B26" s="509" t="s">
        <v>664</v>
      </c>
      <c r="C26" s="510">
        <v>82040</v>
      </c>
      <c r="D26" s="510"/>
      <c r="E26" s="510">
        <f>XledgerData[[#This Row],[Column1]]+XledgerData[[#This Row],[Year to date]]</f>
        <v>82040</v>
      </c>
      <c r="F26" s="372"/>
      <c r="J26" s="391"/>
      <c r="K26" s="482"/>
    </row>
    <row r="27" spans="1:11" ht="14.5" x14ac:dyDescent="0.35">
      <c r="A27" s="555" t="str">
        <f t="shared" si="0"/>
        <v xml:space="preserve">P330034 </v>
      </c>
      <c r="B27" s="424" t="s">
        <v>1405</v>
      </c>
      <c r="C27" s="412">
        <v>63590</v>
      </c>
      <c r="D27" s="412"/>
      <c r="E27" s="412">
        <f>XledgerData[[#This Row],[Column1]]+XledgerData[[#This Row],[Year to date]]</f>
        <v>63590</v>
      </c>
      <c r="F27" s="359"/>
      <c r="J27" s="391"/>
      <c r="K27" s="482"/>
    </row>
    <row r="28" spans="1:11" ht="14.5" x14ac:dyDescent="0.35">
      <c r="A28" s="557" t="str">
        <f t="shared" si="0"/>
        <v xml:space="preserve">P330087 </v>
      </c>
      <c r="B28" s="437" t="s">
        <v>1474</v>
      </c>
      <c r="C28" s="411">
        <v>57980</v>
      </c>
      <c r="D28" s="510"/>
      <c r="E28" s="510">
        <f>XledgerData[[#This Row],[Column1]]+XledgerData[[#This Row],[Year to date]]</f>
        <v>57980</v>
      </c>
      <c r="F28" s="359"/>
      <c r="J28" s="391"/>
      <c r="K28" s="482"/>
    </row>
    <row r="29" spans="1:11" ht="14.5" x14ac:dyDescent="0.35">
      <c r="A29" s="565" t="str">
        <f t="shared" si="0"/>
        <v xml:space="preserve">P330459 </v>
      </c>
      <c r="B29" s="439" t="s">
        <v>828</v>
      </c>
      <c r="C29" s="409">
        <v>52203</v>
      </c>
      <c r="D29" s="472"/>
      <c r="E29" s="472">
        <f>XledgerData[[#This Row],[Column1]]+XledgerData[[#This Row],[Year to date]]</f>
        <v>52203</v>
      </c>
      <c r="F29" s="359"/>
      <c r="J29" s="391"/>
      <c r="K29" s="482"/>
    </row>
    <row r="30" spans="1:11" ht="14.5" x14ac:dyDescent="0.35">
      <c r="A30" s="498" t="str">
        <f t="shared" si="0"/>
        <v xml:space="preserve">P330053 </v>
      </c>
      <c r="B30" s="461" t="s">
        <v>651</v>
      </c>
      <c r="C30" s="462">
        <v>48630</v>
      </c>
      <c r="D30" s="462"/>
      <c r="E30" s="462">
        <f>XledgerData[[#This Row],[Column1]]+XledgerData[[#This Row],[Year to date]]</f>
        <v>48630</v>
      </c>
      <c r="F30" s="359"/>
      <c r="J30" s="391"/>
      <c r="K30" s="482"/>
    </row>
    <row r="31" spans="1:11" ht="14.5" x14ac:dyDescent="0.35">
      <c r="A31" s="386" t="str">
        <f t="shared" si="0"/>
        <v xml:space="preserve">P330237 </v>
      </c>
      <c r="B31" s="436" t="s">
        <v>1563</v>
      </c>
      <c r="C31" s="402">
        <v>18958</v>
      </c>
      <c r="D31" s="450"/>
      <c r="E31" s="450">
        <f>XledgerData[[#This Row],[Column1]]+XledgerData[[#This Row],[Year to date]]</f>
        <v>18958</v>
      </c>
      <c r="F31" s="372"/>
      <c r="J31" s="391"/>
      <c r="K31" s="482"/>
    </row>
    <row r="32" spans="1:11" ht="14.5" x14ac:dyDescent="0.35">
      <c r="A32" s="449" t="str">
        <f t="shared" si="0"/>
        <v xml:space="preserve">P330239 </v>
      </c>
      <c r="B32" s="460" t="s">
        <v>738</v>
      </c>
      <c r="C32" s="450">
        <v>64861</v>
      </c>
      <c r="D32" s="450"/>
      <c r="E32" s="450">
        <f>XledgerData[[#This Row],[Column1]]+XledgerData[[#This Row],[Year to date]]</f>
        <v>64861</v>
      </c>
      <c r="F32" s="359"/>
      <c r="J32" s="391"/>
      <c r="K32" s="482"/>
    </row>
    <row r="33" spans="1:11" s="46" customFormat="1" ht="14.5" x14ac:dyDescent="0.35">
      <c r="A33" s="451" t="str">
        <f>LEFT(B33,FIND(" ",B33,1))</f>
        <v xml:space="preserve">P330169 </v>
      </c>
      <c r="B33" s="459" t="s">
        <v>1627</v>
      </c>
      <c r="C33" s="452">
        <v>0</v>
      </c>
      <c r="D33" s="452">
        <v>630</v>
      </c>
      <c r="E33" s="452">
        <f>XledgerData[[#This Row],[Column1]]+XledgerData[[#This Row],[Year to date]]</f>
        <v>630</v>
      </c>
      <c r="F33" s="359"/>
      <c r="J33" s="391"/>
      <c r="K33" s="482"/>
    </row>
    <row r="34" spans="1:11" ht="14.5" x14ac:dyDescent="0.35">
      <c r="A34" s="365" t="str">
        <f t="shared" si="0"/>
        <v xml:space="preserve">P330171 </v>
      </c>
      <c r="B34" s="426" t="s">
        <v>713</v>
      </c>
      <c r="C34" s="401">
        <f>78572-999</f>
        <v>77573</v>
      </c>
      <c r="D34" s="452"/>
      <c r="E34" s="452">
        <f>XledgerData[[#This Row],[Column1]]+XledgerData[[#This Row],[Year to date]]</f>
        <v>77573</v>
      </c>
      <c r="F34" s="359"/>
      <c r="J34" s="391"/>
      <c r="K34" s="482"/>
    </row>
    <row r="35" spans="1:11" ht="14.5" x14ac:dyDescent="0.35">
      <c r="A35" s="484" t="str">
        <f t="shared" si="0"/>
        <v xml:space="preserve">P330175 </v>
      </c>
      <c r="B35" s="454" t="s">
        <v>714</v>
      </c>
      <c r="C35" s="455">
        <v>30673</v>
      </c>
      <c r="D35" s="455"/>
      <c r="E35" s="455">
        <f>XledgerData[[#This Row],[Column1]]+XledgerData[[#This Row],[Year to date]]</f>
        <v>30673</v>
      </c>
      <c r="F35" s="359"/>
      <c r="J35" s="391"/>
      <c r="K35" s="482"/>
    </row>
    <row r="36" spans="1:11" ht="14.5" x14ac:dyDescent="0.35">
      <c r="A36" s="485" t="str">
        <f t="shared" si="0"/>
        <v xml:space="preserve">P330282 </v>
      </c>
      <c r="B36" s="486" t="s">
        <v>1443</v>
      </c>
      <c r="C36" s="487">
        <v>19698</v>
      </c>
      <c r="D36" s="487"/>
      <c r="E36" s="487">
        <f>XledgerData[[#This Row],[Column1]]+XledgerData[[#This Row],[Year to date]]</f>
        <v>19698</v>
      </c>
      <c r="F36" s="359"/>
      <c r="J36" s="391"/>
      <c r="K36" s="390"/>
    </row>
    <row r="37" spans="1:11" ht="14.5" x14ac:dyDescent="0.35">
      <c r="A37" s="386" t="str">
        <f t="shared" si="0"/>
        <v xml:space="preserve">P330224 </v>
      </c>
      <c r="B37" s="436" t="s">
        <v>1562</v>
      </c>
      <c r="C37" s="402">
        <v>23000</v>
      </c>
      <c r="D37" s="402"/>
      <c r="E37" s="402">
        <f>XledgerData[[#This Row],[Column1]]+XledgerData[[#This Row],[Year to date]]</f>
        <v>23000</v>
      </c>
      <c r="F37" s="372"/>
      <c r="J37" s="391"/>
      <c r="K37" s="482"/>
    </row>
    <row r="38" spans="1:11" ht="14.5" x14ac:dyDescent="0.35">
      <c r="A38" s="463" t="str">
        <f t="shared" si="0"/>
        <v xml:space="preserve">P330372 </v>
      </c>
      <c r="B38" s="464" t="s">
        <v>1497</v>
      </c>
      <c r="C38" s="465">
        <v>25000</v>
      </c>
      <c r="D38" s="465">
        <v>2576</v>
      </c>
      <c r="E38" s="465">
        <f>XledgerData[[#This Row],[Column1]]+XledgerData[[#This Row],[Year to date]]</f>
        <v>27576</v>
      </c>
      <c r="F38" s="359"/>
      <c r="J38" s="391"/>
      <c r="K38" s="482"/>
    </row>
    <row r="39" spans="1:11" ht="14.5" x14ac:dyDescent="0.35">
      <c r="A39" s="562" t="str">
        <f t="shared" si="0"/>
        <v xml:space="preserve">P330089 </v>
      </c>
      <c r="B39" s="437" t="s">
        <v>1393</v>
      </c>
      <c r="C39" s="411">
        <v>84900</v>
      </c>
      <c r="D39" s="411"/>
      <c r="E39" s="411">
        <f>XledgerData[[#This Row],[Column1]]+XledgerData[[#This Row],[Year to date]]</f>
        <v>84900</v>
      </c>
      <c r="F39" s="359"/>
      <c r="J39" s="391"/>
      <c r="K39" s="482"/>
    </row>
    <row r="40" spans="1:11" ht="14.5" x14ac:dyDescent="0.35">
      <c r="A40" s="394" t="str">
        <f t="shared" si="0"/>
        <v xml:space="preserve">P330320 </v>
      </c>
      <c r="B40" s="448" t="s">
        <v>773</v>
      </c>
      <c r="C40" s="499">
        <v>40552</v>
      </c>
      <c r="D40" s="499"/>
      <c r="E40" s="499">
        <f>XledgerData[[#This Row],[Column1]]+XledgerData[[#This Row],[Year to date]]</f>
        <v>40552</v>
      </c>
      <c r="F40" s="359"/>
      <c r="J40" s="391"/>
      <c r="K40" s="482"/>
    </row>
    <row r="41" spans="1:11" ht="14.5" x14ac:dyDescent="0.35">
      <c r="A41" s="511" t="str">
        <f t="shared" si="0"/>
        <v xml:space="preserve">P330219 </v>
      </c>
      <c r="B41" s="448" t="s">
        <v>728</v>
      </c>
      <c r="C41" s="499">
        <v>35000</v>
      </c>
      <c r="D41" s="499"/>
      <c r="E41" s="499">
        <f>XledgerData[[#This Row],[Column1]]+XledgerData[[#This Row],[Year to date]]</f>
        <v>35000</v>
      </c>
      <c r="F41" s="359"/>
      <c r="J41" s="391"/>
      <c r="K41" s="482"/>
    </row>
    <row r="42" spans="1:11" ht="14.5" x14ac:dyDescent="0.35">
      <c r="A42" s="371" t="str">
        <f t="shared" si="0"/>
        <v xml:space="preserve">P330337 </v>
      </c>
      <c r="B42" s="430" t="s">
        <v>1449</v>
      </c>
      <c r="C42" s="406">
        <v>12500</v>
      </c>
      <c r="D42" s="406"/>
      <c r="E42" s="406">
        <f>XledgerData[[#This Row],[Column1]]+XledgerData[[#This Row],[Year to date]]</f>
        <v>12500</v>
      </c>
      <c r="F42" s="372"/>
      <c r="J42" s="391"/>
      <c r="K42" s="482"/>
    </row>
    <row r="43" spans="1:11" ht="14.5" x14ac:dyDescent="0.35">
      <c r="A43" s="365" t="str">
        <f t="shared" si="0"/>
        <v xml:space="preserve">P330170 </v>
      </c>
      <c r="B43" s="426" t="s">
        <v>712</v>
      </c>
      <c r="C43" s="401">
        <v>76234</v>
      </c>
      <c r="D43" s="452"/>
      <c r="E43" s="452">
        <f>XledgerData[[#This Row],[Column1]]+XledgerData[[#This Row],[Year to date]]</f>
        <v>76234</v>
      </c>
      <c r="F43" s="359"/>
      <c r="G43" s="46"/>
      <c r="J43" s="391"/>
      <c r="K43" s="390"/>
    </row>
    <row r="44" spans="1:11" ht="14.5" x14ac:dyDescent="0.35">
      <c r="A44" s="360" t="str">
        <f t="shared" si="0"/>
        <v xml:space="preserve">P330114 </v>
      </c>
      <c r="B44" s="425" t="s">
        <v>1411</v>
      </c>
      <c r="C44" s="398">
        <v>20021</v>
      </c>
      <c r="D44" s="453"/>
      <c r="E44" s="453">
        <f>XledgerData[[#This Row],[Column1]]+XledgerData[[#This Row],[Year to date]]</f>
        <v>20021</v>
      </c>
      <c r="F44" s="359"/>
      <c r="J44" s="391"/>
      <c r="K44" s="482"/>
    </row>
    <row r="45" spans="1:11" ht="14.5" x14ac:dyDescent="0.35">
      <c r="A45" s="338" t="str">
        <f t="shared" si="0"/>
        <v xml:space="preserve">P330338 </v>
      </c>
      <c r="B45" s="430" t="s">
        <v>778</v>
      </c>
      <c r="C45" s="406">
        <v>67000</v>
      </c>
      <c r="D45" s="465"/>
      <c r="E45" s="465">
        <f>XledgerData[[#This Row],[Column1]]+XledgerData[[#This Row],[Year to date]]</f>
        <v>67000</v>
      </c>
      <c r="F45" s="359"/>
      <c r="J45" s="391"/>
      <c r="K45" s="482"/>
    </row>
    <row r="46" spans="1:11" ht="14.5" x14ac:dyDescent="0.35">
      <c r="A46" s="456" t="str">
        <f t="shared" si="0"/>
        <v xml:space="preserve">P330036 </v>
      </c>
      <c r="B46" s="424" t="s">
        <v>640</v>
      </c>
      <c r="C46" s="412">
        <v>72438</v>
      </c>
      <c r="D46" s="458"/>
      <c r="E46" s="458">
        <f>XledgerData[[#This Row],[Column1]]+XledgerData[[#This Row],[Year to date]]</f>
        <v>72438</v>
      </c>
      <c r="F46" s="359"/>
      <c r="J46" s="391"/>
      <c r="K46" s="482"/>
    </row>
    <row r="47" spans="1:11" ht="14.5" x14ac:dyDescent="0.35">
      <c r="A47" s="490" t="str">
        <f t="shared" si="0"/>
        <v xml:space="preserve">P330133 </v>
      </c>
      <c r="B47" s="423" t="s">
        <v>693</v>
      </c>
      <c r="C47" s="399">
        <v>72892</v>
      </c>
      <c r="D47" s="489"/>
      <c r="E47" s="489">
        <f>XledgerData[[#This Row],[Column1]]+XledgerData[[#This Row],[Year to date]]</f>
        <v>72892</v>
      </c>
      <c r="F47" s="359"/>
      <c r="J47" s="391"/>
      <c r="K47" s="482"/>
    </row>
    <row r="48" spans="1:11" ht="14.5" x14ac:dyDescent="0.35">
      <c r="A48" s="473" t="str">
        <f t="shared" si="0"/>
        <v xml:space="preserve">P330416 </v>
      </c>
      <c r="B48" s="435" t="s">
        <v>806</v>
      </c>
      <c r="C48" s="408">
        <v>28399</v>
      </c>
      <c r="D48" s="475"/>
      <c r="E48" s="475">
        <f>XledgerData[[#This Row],[Column1]]+XledgerData[[#This Row],[Year to date]]</f>
        <v>28399</v>
      </c>
      <c r="F48" s="359"/>
      <c r="J48" s="391"/>
      <c r="K48" s="482"/>
    </row>
    <row r="49" spans="1:12" ht="14.5" x14ac:dyDescent="0.35">
      <c r="A49" s="388" t="str">
        <f t="shared" si="0"/>
        <v xml:space="preserve">P330370 </v>
      </c>
      <c r="B49" s="435" t="s">
        <v>784</v>
      </c>
      <c r="C49" s="408">
        <v>8919</v>
      </c>
      <c r="D49" s="475"/>
      <c r="E49" s="475">
        <f>XledgerData[[#This Row],[Column1]]+XledgerData[[#This Row],[Year to date]]</f>
        <v>8919</v>
      </c>
      <c r="F49" s="359"/>
      <c r="J49" s="391"/>
      <c r="K49" s="482"/>
    </row>
    <row r="50" spans="1:12" ht="14.5" x14ac:dyDescent="0.35">
      <c r="A50" s="366" t="str">
        <f t="shared" si="0"/>
        <v xml:space="preserve">P330303 </v>
      </c>
      <c r="B50" s="429" t="s">
        <v>765</v>
      </c>
      <c r="C50" s="404">
        <v>66769</v>
      </c>
      <c r="D50" s="487"/>
      <c r="E50" s="487">
        <f>XledgerData[[#This Row],[Column1]]+XledgerData[[#This Row],[Year to date]]</f>
        <v>66769</v>
      </c>
      <c r="F50" s="359"/>
      <c r="J50" s="391"/>
      <c r="K50" s="482"/>
    </row>
    <row r="51" spans="1:12" ht="14.5" x14ac:dyDescent="0.35">
      <c r="A51" s="515" t="s">
        <v>1166</v>
      </c>
      <c r="B51" s="509" t="s">
        <v>1410</v>
      </c>
      <c r="C51" s="510">
        <v>66458</v>
      </c>
      <c r="D51" s="510"/>
      <c r="E51" s="510">
        <f>XledgerData[[#This Row],[Column1]]+XledgerData[[#This Row],[Year to date]]</f>
        <v>66458</v>
      </c>
      <c r="F51" s="372"/>
      <c r="J51" s="391"/>
      <c r="K51" s="482"/>
    </row>
    <row r="52" spans="1:12" ht="14.5" x14ac:dyDescent="0.35">
      <c r="A52" s="365" t="str">
        <f t="shared" ref="A52:A115" si="1">LEFT(B52,FIND(" ",B52,1))</f>
        <v xml:space="preserve">P330153 </v>
      </c>
      <c r="B52" s="459" t="s">
        <v>1560</v>
      </c>
      <c r="C52" s="452">
        <v>10740</v>
      </c>
      <c r="D52" s="452"/>
      <c r="E52" s="452">
        <f>XledgerData[[#This Row],[Column1]]+XledgerData[[#This Row],[Year to date]]</f>
        <v>10740</v>
      </c>
      <c r="F52" s="372"/>
      <c r="J52" s="391"/>
      <c r="K52" s="482"/>
    </row>
    <row r="53" spans="1:12" ht="14.5" x14ac:dyDescent="0.35">
      <c r="A53" s="494" t="str">
        <f t="shared" si="1"/>
        <v xml:space="preserve">P330113 </v>
      </c>
      <c r="B53" s="483" t="s">
        <v>680</v>
      </c>
      <c r="C53" s="453">
        <v>17739</v>
      </c>
      <c r="D53" s="453"/>
      <c r="E53" s="453">
        <f>XledgerData[[#This Row],[Column1]]+XledgerData[[#This Row],[Year to date]]</f>
        <v>17739</v>
      </c>
      <c r="F53" s="359"/>
      <c r="J53" s="391"/>
      <c r="K53" s="482"/>
    </row>
    <row r="54" spans="1:12" ht="14.5" x14ac:dyDescent="0.35">
      <c r="A54" s="494" t="str">
        <f t="shared" si="1"/>
        <v xml:space="preserve">P330103 </v>
      </c>
      <c r="B54" s="483" t="s">
        <v>1610</v>
      </c>
      <c r="C54" s="453">
        <v>8716</v>
      </c>
      <c r="D54" s="453"/>
      <c r="E54" s="453">
        <f>XledgerData[[#This Row],[Column1]]+XledgerData[[#This Row],[Year to date]]</f>
        <v>8716</v>
      </c>
      <c r="F54" s="359"/>
      <c r="J54" s="391"/>
      <c r="K54" s="482"/>
    </row>
    <row r="55" spans="1:12" ht="14.5" x14ac:dyDescent="0.35">
      <c r="A55" s="388" t="str">
        <f t="shared" si="1"/>
        <v xml:space="preserve">P330423 </v>
      </c>
      <c r="B55" s="435" t="s">
        <v>1504</v>
      </c>
      <c r="C55" s="408">
        <v>7000</v>
      </c>
      <c r="D55" s="408"/>
      <c r="E55" s="408">
        <f>XledgerData[[#This Row],[Column1]]+XledgerData[[#This Row],[Year to date]]</f>
        <v>7000</v>
      </c>
      <c r="F55" s="359"/>
      <c r="J55" s="391"/>
      <c r="K55" s="482"/>
    </row>
    <row r="56" spans="1:12" ht="14.5" x14ac:dyDescent="0.35">
      <c r="A56" s="371" t="str">
        <f t="shared" si="1"/>
        <v xml:space="preserve">P330340 </v>
      </c>
      <c r="B56" s="430" t="s">
        <v>1450</v>
      </c>
      <c r="C56" s="406">
        <v>19000</v>
      </c>
      <c r="D56" s="406"/>
      <c r="E56" s="406">
        <f>XledgerData[[#This Row],[Column1]]+XledgerData[[#This Row],[Year to date]]</f>
        <v>19000</v>
      </c>
      <c r="F56" s="372"/>
      <c r="J56" s="391"/>
      <c r="K56" s="482"/>
    </row>
    <row r="57" spans="1:12" ht="14.5" x14ac:dyDescent="0.35">
      <c r="A57" s="368" t="str">
        <f t="shared" si="1"/>
        <v xml:space="preserve">P330494 </v>
      </c>
      <c r="B57" s="438" t="s">
        <v>1467</v>
      </c>
      <c r="C57" s="405">
        <v>56400</v>
      </c>
      <c r="D57" s="405"/>
      <c r="E57" s="405">
        <f>XledgerData[[#This Row],[Column1]]+XledgerData[[#This Row],[Year to date]]</f>
        <v>56400</v>
      </c>
      <c r="F57" s="359"/>
      <c r="J57" s="46"/>
      <c r="K57" s="390"/>
    </row>
    <row r="58" spans="1:12" ht="14.5" x14ac:dyDescent="0.35">
      <c r="A58" s="352" t="str">
        <f t="shared" si="1"/>
        <v xml:space="preserve">P330283 </v>
      </c>
      <c r="B58" s="486" t="s">
        <v>1586</v>
      </c>
      <c r="C58" s="487">
        <v>11268</v>
      </c>
      <c r="D58" s="487"/>
      <c r="E58" s="487">
        <f>XledgerData[[#This Row],[Column1]]+XledgerData[[#This Row],[Year to date]]</f>
        <v>11268</v>
      </c>
      <c r="F58" s="359"/>
      <c r="J58" s="391"/>
      <c r="K58" s="482"/>
    </row>
    <row r="59" spans="1:12" ht="14.5" x14ac:dyDescent="0.35">
      <c r="A59" s="364" t="str">
        <f t="shared" si="1"/>
        <v xml:space="preserve">P330080 </v>
      </c>
      <c r="B59" s="437" t="s">
        <v>665</v>
      </c>
      <c r="C59" s="411">
        <v>25000</v>
      </c>
      <c r="D59" s="411"/>
      <c r="E59" s="411">
        <f>XledgerData[[#This Row],[Column1]]+XledgerData[[#This Row],[Year to date]]</f>
        <v>25000</v>
      </c>
      <c r="F59" s="359"/>
      <c r="J59" s="391"/>
      <c r="K59" s="482"/>
    </row>
    <row r="60" spans="1:12" ht="14.5" x14ac:dyDescent="0.35">
      <c r="A60" s="554" t="str">
        <f t="shared" si="1"/>
        <v xml:space="preserve">P330173 </v>
      </c>
      <c r="B60" s="427" t="s">
        <v>1479</v>
      </c>
      <c r="C60" s="455">
        <v>18140</v>
      </c>
      <c r="D60" s="455"/>
      <c r="E60" s="455">
        <f>XledgerData[[#This Row],[Column1]]+XledgerData[[#This Row],[Year to date]]</f>
        <v>18140</v>
      </c>
      <c r="F60" s="359"/>
      <c r="J60" s="391"/>
      <c r="K60" s="482"/>
      <c r="L60" s="367"/>
    </row>
    <row r="61" spans="1:12" ht="14.5" x14ac:dyDescent="0.35">
      <c r="A61" s="338" t="str">
        <f t="shared" si="1"/>
        <v xml:space="preserve">P330376 </v>
      </c>
      <c r="B61" s="464" t="s">
        <v>1568</v>
      </c>
      <c r="C61" s="465">
        <v>5460</v>
      </c>
      <c r="D61" s="465"/>
      <c r="E61" s="465">
        <f>XledgerData[[#This Row],[Column1]]+XledgerData[[#This Row],[Year to date]]</f>
        <v>5460</v>
      </c>
      <c r="F61" s="359"/>
      <c r="J61" s="391"/>
      <c r="K61" s="482"/>
      <c r="L61" s="367"/>
    </row>
    <row r="62" spans="1:12" ht="14.5" x14ac:dyDescent="0.35">
      <c r="A62" s="456" t="str">
        <f t="shared" si="1"/>
        <v xml:space="preserve">P330500 </v>
      </c>
      <c r="B62" s="457" t="s">
        <v>845</v>
      </c>
      <c r="C62" s="529">
        <v>52836</v>
      </c>
      <c r="D62" s="529"/>
      <c r="E62" s="529">
        <f>XledgerData[[#This Row],[Column1]]+XledgerData[[#This Row],[Year to date]]</f>
        <v>52836</v>
      </c>
      <c r="F62" s="359"/>
      <c r="J62" s="391"/>
      <c r="K62" s="482"/>
      <c r="L62" s="367"/>
    </row>
    <row r="63" spans="1:12" ht="14.5" x14ac:dyDescent="0.35">
      <c r="A63" s="389" t="str">
        <f t="shared" si="1"/>
        <v xml:space="preserve">P330461 </v>
      </c>
      <c r="B63" s="447" t="s">
        <v>830</v>
      </c>
      <c r="C63" s="466">
        <v>52247</v>
      </c>
      <c r="D63" s="466"/>
      <c r="E63" s="466">
        <f>XledgerData[[#This Row],[Column1]]+XledgerData[[#This Row],[Year to date]]</f>
        <v>52247</v>
      </c>
      <c r="F63" s="372"/>
      <c r="J63" s="46"/>
      <c r="K63" s="390"/>
      <c r="L63" s="367"/>
    </row>
    <row r="64" spans="1:12" ht="14.5" x14ac:dyDescent="0.35">
      <c r="A64" s="360" t="str">
        <f t="shared" si="1"/>
        <v xml:space="preserve">P330118 </v>
      </c>
      <c r="B64" s="425" t="s">
        <v>1617</v>
      </c>
      <c r="C64" s="398">
        <v>4200</v>
      </c>
      <c r="D64" s="398"/>
      <c r="E64" s="398">
        <f>XledgerData[[#This Row],[Column1]]+XledgerData[[#This Row],[Year to date]]</f>
        <v>4200</v>
      </c>
      <c r="F64" s="359"/>
      <c r="J64" s="391"/>
      <c r="K64" s="482"/>
      <c r="L64" s="367"/>
    </row>
    <row r="65" spans="1:12" ht="14.5" x14ac:dyDescent="0.35">
      <c r="A65" s="498" t="str">
        <f t="shared" si="1"/>
        <v xml:space="preserve">P330050 </v>
      </c>
      <c r="B65" s="461" t="s">
        <v>1519</v>
      </c>
      <c r="C65" s="462">
        <v>13196</v>
      </c>
      <c r="D65" s="462"/>
      <c r="E65" s="462">
        <f>XledgerData[[#This Row],[Column1]]+XledgerData[[#This Row],[Year to date]]</f>
        <v>13196</v>
      </c>
      <c r="F65" s="359"/>
      <c r="J65" s="391"/>
      <c r="K65" s="482"/>
      <c r="L65" s="367"/>
    </row>
    <row r="66" spans="1:12" ht="14.5" x14ac:dyDescent="0.35">
      <c r="A66" s="363" t="str">
        <f t="shared" si="1"/>
        <v xml:space="preserve">P330021 </v>
      </c>
      <c r="B66" s="434" t="s">
        <v>633</v>
      </c>
      <c r="C66" s="414">
        <v>50000</v>
      </c>
      <c r="D66" s="414">
        <v>500</v>
      </c>
      <c r="E66" s="414">
        <f>XledgerData[[#This Row],[Column1]]+XledgerData[[#This Row],[Year to date]]</f>
        <v>50500</v>
      </c>
      <c r="F66" s="359"/>
      <c r="J66" s="391"/>
      <c r="K66" s="482"/>
      <c r="L66" s="367"/>
    </row>
    <row r="67" spans="1:12" ht="14.5" x14ac:dyDescent="0.35">
      <c r="A67" s="371" t="str">
        <f t="shared" si="1"/>
        <v xml:space="preserve">P330375 </v>
      </c>
      <c r="B67" s="430" t="s">
        <v>1619</v>
      </c>
      <c r="C67" s="406">
        <v>4000</v>
      </c>
      <c r="D67" s="406"/>
      <c r="E67" s="406">
        <f>XledgerData[[#This Row],[Column1]]+XledgerData[[#This Row],[Year to date]]</f>
        <v>4000</v>
      </c>
      <c r="F67" s="359"/>
      <c r="J67" s="46"/>
      <c r="K67" s="390"/>
    </row>
    <row r="68" spans="1:12" ht="14.5" x14ac:dyDescent="0.35">
      <c r="A68" s="364" t="str">
        <f t="shared" si="1"/>
        <v xml:space="preserve">P330088 </v>
      </c>
      <c r="B68" s="437" t="s">
        <v>668</v>
      </c>
      <c r="C68" s="411">
        <v>20000</v>
      </c>
      <c r="D68" s="411">
        <v>6000</v>
      </c>
      <c r="E68" s="411">
        <f>XledgerData[[#This Row],[Column1]]+XledgerData[[#This Row],[Year to date]]</f>
        <v>26000</v>
      </c>
      <c r="F68" s="359"/>
      <c r="J68" s="391"/>
      <c r="K68" s="482"/>
    </row>
    <row r="69" spans="1:12" ht="14.5" x14ac:dyDescent="0.35">
      <c r="A69" s="352" t="str">
        <f t="shared" si="1"/>
        <v xml:space="preserve">P330285 </v>
      </c>
      <c r="B69" s="429" t="s">
        <v>757</v>
      </c>
      <c r="C69" s="404">
        <v>21000</v>
      </c>
      <c r="D69" s="404"/>
      <c r="E69" s="404">
        <f>XledgerData[[#This Row],[Column1]]+XledgerData[[#This Row],[Year to date]]</f>
        <v>21000</v>
      </c>
      <c r="F69" s="372"/>
      <c r="J69" s="391"/>
      <c r="K69" s="482"/>
    </row>
    <row r="70" spans="1:12" ht="14.5" x14ac:dyDescent="0.35">
      <c r="A70" s="394" t="str">
        <f t="shared" si="1"/>
        <v xml:space="preserve">P330309 </v>
      </c>
      <c r="B70" s="448" t="s">
        <v>768</v>
      </c>
      <c r="C70" s="499">
        <v>47500</v>
      </c>
      <c r="D70" s="499"/>
      <c r="E70" s="499">
        <f>XledgerData[[#This Row],[Column1]]+XledgerData[[#This Row],[Year to date]]</f>
        <v>47500</v>
      </c>
      <c r="F70" s="359"/>
      <c r="J70" s="391"/>
      <c r="K70" s="482"/>
    </row>
    <row r="71" spans="1:12" ht="14.5" x14ac:dyDescent="0.35">
      <c r="A71" s="365" t="str">
        <f t="shared" si="1"/>
        <v xml:space="preserve">P330491 </v>
      </c>
      <c r="B71" s="426" t="s">
        <v>844</v>
      </c>
      <c r="C71" s="452">
        <v>46953</v>
      </c>
      <c r="D71" s="452"/>
      <c r="E71" s="452">
        <f>XledgerData[[#This Row],[Column1]]+XledgerData[[#This Row],[Year to date]]</f>
        <v>46953</v>
      </c>
      <c r="F71" s="359"/>
      <c r="J71" s="391"/>
      <c r="K71" s="482"/>
    </row>
    <row r="72" spans="1:12" ht="14.5" x14ac:dyDescent="0.35">
      <c r="A72" s="364" t="str">
        <f t="shared" si="1"/>
        <v xml:space="preserve">P330074 </v>
      </c>
      <c r="B72" s="437" t="s">
        <v>661</v>
      </c>
      <c r="C72" s="411">
        <v>10800</v>
      </c>
      <c r="D72" s="411"/>
      <c r="E72" s="411">
        <f>XledgerData[[#This Row],[Column1]]+XledgerData[[#This Row],[Year to date]]</f>
        <v>10800</v>
      </c>
      <c r="F72" s="359"/>
      <c r="J72" s="391"/>
      <c r="K72" s="482"/>
    </row>
    <row r="73" spans="1:12" s="46" customFormat="1" ht="15" thickBot="1" x14ac:dyDescent="0.4">
      <c r="A73" s="456" t="str">
        <f t="shared" si="1"/>
        <v xml:space="preserve">P330047 </v>
      </c>
      <c r="B73" s="567" t="s">
        <v>649</v>
      </c>
      <c r="C73" s="458">
        <v>45592</v>
      </c>
      <c r="D73" s="458"/>
      <c r="E73" s="458">
        <f>XledgerData[[#This Row],[Column1]]+XledgerData[[#This Row],[Year to date]]</f>
        <v>45592</v>
      </c>
      <c r="F73" s="359"/>
      <c r="J73" s="391"/>
      <c r="K73" s="482"/>
    </row>
    <row r="74" spans="1:12" ht="14.5" x14ac:dyDescent="0.35">
      <c r="A74" s="561" t="str">
        <f t="shared" si="1"/>
        <v xml:space="preserve">P330311 </v>
      </c>
      <c r="B74" s="448" t="s">
        <v>770</v>
      </c>
      <c r="C74" s="499">
        <v>43200</v>
      </c>
      <c r="D74" s="499"/>
      <c r="E74" s="499">
        <f>XledgerData[[#This Row],[Column1]]+XledgerData[[#This Row],[Year to date]]</f>
        <v>43200</v>
      </c>
      <c r="F74" s="359"/>
      <c r="J74" s="391"/>
      <c r="K74" s="482"/>
    </row>
    <row r="75" spans="1:12" ht="14.5" x14ac:dyDescent="0.35">
      <c r="A75" s="494" t="str">
        <f t="shared" si="1"/>
        <v xml:space="preserve">P330110 </v>
      </c>
      <c r="B75" s="483" t="s">
        <v>1475</v>
      </c>
      <c r="C75" s="453">
        <v>14003</v>
      </c>
      <c r="D75" s="453"/>
      <c r="E75" s="453">
        <f>XledgerData[[#This Row],[Column1]]+XledgerData[[#This Row],[Year to date]]</f>
        <v>14003</v>
      </c>
      <c r="F75" s="359"/>
      <c r="J75" s="391"/>
      <c r="K75" s="482"/>
    </row>
    <row r="76" spans="1:12" ht="14.5" x14ac:dyDescent="0.35">
      <c r="A76" s="363" t="str">
        <f t="shared" si="1"/>
        <v xml:space="preserve">P330024 </v>
      </c>
      <c r="B76" s="434" t="s">
        <v>634</v>
      </c>
      <c r="C76" s="414">
        <v>4500</v>
      </c>
      <c r="D76" s="522"/>
      <c r="E76" s="522">
        <f>XledgerData[[#This Row],[Column1]]+XledgerData[[#This Row],[Year to date]]</f>
        <v>4500</v>
      </c>
      <c r="F76" s="359"/>
      <c r="J76" s="391"/>
      <c r="K76" s="482"/>
    </row>
    <row r="77" spans="1:12" ht="14.5" x14ac:dyDescent="0.35">
      <c r="A77" s="451" t="str">
        <f t="shared" si="1"/>
        <v xml:space="preserve">B118 </v>
      </c>
      <c r="B77" s="459" t="s">
        <v>1615</v>
      </c>
      <c r="C77" s="452">
        <v>3250</v>
      </c>
      <c r="D77" s="452">
        <v>-750</v>
      </c>
      <c r="E77" s="452">
        <f>XledgerData[[#This Row],[Column1]]+XledgerData[[#This Row],[Year to date]]</f>
        <v>2500</v>
      </c>
      <c r="F77" s="359"/>
      <c r="J77" s="391"/>
      <c r="K77" s="482"/>
    </row>
    <row r="78" spans="1:12" ht="14.5" x14ac:dyDescent="0.35">
      <c r="A78" s="389" t="str">
        <f t="shared" si="1"/>
        <v xml:space="preserve">P330470 </v>
      </c>
      <c r="B78" s="447" t="s">
        <v>1515</v>
      </c>
      <c r="C78" s="466">
        <v>22218</v>
      </c>
      <c r="D78" s="466"/>
      <c r="E78" s="466">
        <f>XledgerData[[#This Row],[Column1]]+XledgerData[[#This Row],[Year to date]]</f>
        <v>22218</v>
      </c>
      <c r="F78" s="359"/>
      <c r="J78" s="391"/>
      <c r="K78" s="482"/>
    </row>
    <row r="79" spans="1:12" ht="14.5" x14ac:dyDescent="0.35">
      <c r="A79" s="335" t="str">
        <f t="shared" si="1"/>
        <v xml:space="preserve">P330398 </v>
      </c>
      <c r="B79" s="479" t="s">
        <v>796</v>
      </c>
      <c r="C79" s="480">
        <v>7254</v>
      </c>
      <c r="D79" s="480"/>
      <c r="E79" s="480">
        <f>XledgerData[[#This Row],[Column1]]+XledgerData[[#This Row],[Year to date]]</f>
        <v>7254</v>
      </c>
      <c r="F79" s="359"/>
      <c r="J79" s="391"/>
      <c r="K79" s="482"/>
      <c r="L79" s="362"/>
    </row>
    <row r="80" spans="1:12" ht="14.5" x14ac:dyDescent="0.35">
      <c r="A80" s="341" t="str">
        <f t="shared" si="1"/>
        <v xml:space="preserve">P330194 </v>
      </c>
      <c r="B80" s="427" t="s">
        <v>1618</v>
      </c>
      <c r="C80" s="383">
        <v>3000</v>
      </c>
      <c r="D80" s="383">
        <v>2200</v>
      </c>
      <c r="E80" s="383">
        <f>XledgerData[[#This Row],[Column1]]+XledgerData[[#This Row],[Year to date]]</f>
        <v>5200</v>
      </c>
      <c r="F80" s="359"/>
      <c r="J80" s="391"/>
      <c r="K80" s="482"/>
    </row>
    <row r="81" spans="1:11" ht="14.5" x14ac:dyDescent="0.35">
      <c r="A81" s="341" t="str">
        <f t="shared" si="1"/>
        <v xml:space="preserve">P330176 </v>
      </c>
      <c r="B81" s="427" t="s">
        <v>1602</v>
      </c>
      <c r="C81" s="383">
        <v>5000</v>
      </c>
      <c r="D81" s="383"/>
      <c r="E81" s="383">
        <f>XledgerData[[#This Row],[Column1]]+XledgerData[[#This Row],[Year to date]]</f>
        <v>5000</v>
      </c>
      <c r="F81" s="373"/>
      <c r="J81" s="391"/>
      <c r="K81" s="482"/>
    </row>
    <row r="82" spans="1:11" ht="14.5" x14ac:dyDescent="0.35">
      <c r="A82" s="363" t="str">
        <f t="shared" si="1"/>
        <v xml:space="preserve">P330073 </v>
      </c>
      <c r="B82" s="434" t="s">
        <v>660</v>
      </c>
      <c r="C82" s="414">
        <v>13700</v>
      </c>
      <c r="D82" s="414">
        <v>-2700</v>
      </c>
      <c r="E82" s="414">
        <f>XledgerData[[#This Row],[Column1]]+XledgerData[[#This Row],[Year to date]]</f>
        <v>11000</v>
      </c>
      <c r="F82" s="359"/>
      <c r="J82" s="391"/>
      <c r="K82" s="482"/>
    </row>
    <row r="83" spans="1:11" ht="14.5" x14ac:dyDescent="0.35">
      <c r="A83" s="351" t="str">
        <f t="shared" si="1"/>
        <v xml:space="preserve">P330251 </v>
      </c>
      <c r="B83" s="492" t="s">
        <v>743</v>
      </c>
      <c r="C83" s="493">
        <v>21145</v>
      </c>
      <c r="D83" s="493"/>
      <c r="E83" s="493">
        <f>XledgerData[[#This Row],[Column1]]+XledgerData[[#This Row],[Year to date]]</f>
        <v>21145</v>
      </c>
      <c r="F83" s="359"/>
      <c r="J83" s="391"/>
      <c r="K83" s="482"/>
    </row>
    <row r="84" spans="1:11" ht="14.5" x14ac:dyDescent="0.35">
      <c r="A84" s="397" t="str">
        <f t="shared" si="1"/>
        <v xml:space="preserve">P330476 </v>
      </c>
      <c r="B84" s="447" t="s">
        <v>1464</v>
      </c>
      <c r="C84" s="466">
        <v>10476</v>
      </c>
      <c r="D84" s="466"/>
      <c r="E84" s="466">
        <f>XledgerData[[#This Row],[Column1]]+XledgerData[[#This Row],[Year to date]]</f>
        <v>10476</v>
      </c>
      <c r="F84" s="372"/>
      <c r="J84" s="391"/>
      <c r="K84" s="482"/>
    </row>
    <row r="85" spans="1:11" ht="14.5" x14ac:dyDescent="0.35">
      <c r="A85" s="388" t="str">
        <f t="shared" si="1"/>
        <v xml:space="preserve">P330418 </v>
      </c>
      <c r="B85" s="435" t="s">
        <v>1501</v>
      </c>
      <c r="C85" s="408">
        <v>13872</v>
      </c>
      <c r="D85" s="408">
        <v>9000</v>
      </c>
      <c r="E85" s="408">
        <f>XledgerData[[#This Row],[Column1]]+XledgerData[[#This Row],[Year to date]]</f>
        <v>22872</v>
      </c>
      <c r="F85" s="359"/>
      <c r="J85" s="391"/>
      <c r="K85" s="482"/>
    </row>
    <row r="86" spans="1:11" ht="14.5" x14ac:dyDescent="0.35">
      <c r="A86" s="361" t="str">
        <f t="shared" si="1"/>
        <v xml:space="preserve">P330093 </v>
      </c>
      <c r="B86" s="424" t="s">
        <v>670</v>
      </c>
      <c r="C86" s="412">
        <v>53771</v>
      </c>
      <c r="D86" s="412">
        <v>361</v>
      </c>
      <c r="E86" s="412">
        <f>XledgerData[[#This Row],[Column1]]+XledgerData[[#This Row],[Year to date]]</f>
        <v>54132</v>
      </c>
      <c r="F86" s="359"/>
      <c r="J86" s="391"/>
      <c r="K86" s="482"/>
    </row>
    <row r="87" spans="1:11" ht="14.5" x14ac:dyDescent="0.35">
      <c r="A87" s="451" t="str">
        <f t="shared" si="1"/>
        <v xml:space="preserve">P330161 </v>
      </c>
      <c r="B87" s="459" t="s">
        <v>1523</v>
      </c>
      <c r="C87" s="452">
        <v>8700</v>
      </c>
      <c r="D87" s="452">
        <v>1670</v>
      </c>
      <c r="E87" s="452">
        <f>XledgerData[[#This Row],[Column1]]+XledgerData[[#This Row],[Year to date]]</f>
        <v>10370</v>
      </c>
      <c r="F87" s="359"/>
      <c r="J87" s="391"/>
      <c r="K87" s="482"/>
    </row>
    <row r="88" spans="1:11" ht="14.5" x14ac:dyDescent="0.35">
      <c r="A88" s="490" t="str">
        <f t="shared" si="1"/>
        <v xml:space="preserve">P330128 </v>
      </c>
      <c r="B88" s="488" t="s">
        <v>690</v>
      </c>
      <c r="C88" s="489">
        <v>13935</v>
      </c>
      <c r="D88" s="489"/>
      <c r="E88" s="489">
        <f>XledgerData[[#This Row],[Column1]]+XledgerData[[#This Row],[Year to date]]</f>
        <v>13935</v>
      </c>
      <c r="F88" s="359"/>
      <c r="J88" s="391"/>
      <c r="K88" s="482"/>
    </row>
    <row r="89" spans="1:11" ht="14.5" x14ac:dyDescent="0.35">
      <c r="A89" s="470" t="str">
        <f t="shared" si="1"/>
        <v xml:space="preserve">P330441 </v>
      </c>
      <c r="B89" s="471" t="s">
        <v>1459</v>
      </c>
      <c r="C89" s="472">
        <v>32131</v>
      </c>
      <c r="D89" s="472"/>
      <c r="E89" s="472">
        <f>XledgerData[[#This Row],[Column1]]+XledgerData[[#This Row],[Year to date]]</f>
        <v>32131</v>
      </c>
      <c r="F89" s="359"/>
      <c r="J89" s="391"/>
      <c r="K89" s="482"/>
    </row>
    <row r="90" spans="1:11" ht="14.5" x14ac:dyDescent="0.35">
      <c r="A90" s="463" t="str">
        <f t="shared" si="1"/>
        <v xml:space="preserve">P330390 </v>
      </c>
      <c r="B90" s="464" t="s">
        <v>791</v>
      </c>
      <c r="C90" s="465">
        <v>11916</v>
      </c>
      <c r="D90" s="465">
        <v>-1836</v>
      </c>
      <c r="E90" s="465">
        <f>XledgerData[[#This Row],[Column1]]+XledgerData[[#This Row],[Year to date]]</f>
        <v>10080</v>
      </c>
      <c r="F90" s="359"/>
      <c r="J90" s="391"/>
      <c r="K90" s="482"/>
    </row>
    <row r="91" spans="1:11" ht="14.5" x14ac:dyDescent="0.35">
      <c r="A91" s="386" t="str">
        <f t="shared" si="1"/>
        <v xml:space="preserve">P330230 </v>
      </c>
      <c r="B91" s="436" t="s">
        <v>733</v>
      </c>
      <c r="C91" s="402">
        <v>29175</v>
      </c>
      <c r="D91" s="402">
        <v>2600</v>
      </c>
      <c r="E91" s="402">
        <f>XledgerData[[#This Row],[Column1]]+XledgerData[[#This Row],[Year to date]]</f>
        <v>31775</v>
      </c>
      <c r="F91" s="359"/>
      <c r="J91" s="391"/>
      <c r="K91" s="482"/>
    </row>
    <row r="92" spans="1:11" ht="14.5" x14ac:dyDescent="0.35">
      <c r="A92" s="386" t="str">
        <f t="shared" si="1"/>
        <v xml:space="preserve">P330247 </v>
      </c>
      <c r="B92" s="436" t="s">
        <v>1564</v>
      </c>
      <c r="C92" s="402">
        <v>18500</v>
      </c>
      <c r="D92" s="402"/>
      <c r="E92" s="402">
        <f>XledgerData[[#This Row],[Column1]]+XledgerData[[#This Row],[Year to date]]</f>
        <v>18500</v>
      </c>
      <c r="F92" s="359"/>
      <c r="J92" s="391"/>
      <c r="K92" s="482"/>
    </row>
    <row r="93" spans="1:11" ht="14.5" x14ac:dyDescent="0.35">
      <c r="A93" s="485" t="str">
        <f t="shared" si="1"/>
        <v xml:space="preserve">P330298 </v>
      </c>
      <c r="B93" s="486" t="s">
        <v>764</v>
      </c>
      <c r="C93" s="487">
        <v>8000</v>
      </c>
      <c r="D93" s="487"/>
      <c r="E93" s="487">
        <f>XledgerData[[#This Row],[Column1]]+XledgerData[[#This Row],[Year to date]]</f>
        <v>8000</v>
      </c>
      <c r="F93" s="359"/>
      <c r="J93" s="391"/>
      <c r="K93" s="482"/>
    </row>
    <row r="94" spans="1:11" ht="14.5" x14ac:dyDescent="0.35">
      <c r="A94" s="397" t="str">
        <f t="shared" si="1"/>
        <v xml:space="preserve">P330473 </v>
      </c>
      <c r="B94" s="431" t="s">
        <v>837</v>
      </c>
      <c r="C94" s="410">
        <v>32500</v>
      </c>
      <c r="D94" s="410"/>
      <c r="E94" s="410">
        <f>XledgerData[[#This Row],[Column1]]+XledgerData[[#This Row],[Year to date]]</f>
        <v>32500</v>
      </c>
      <c r="F94" s="372"/>
      <c r="J94" s="391"/>
      <c r="K94" s="482"/>
    </row>
    <row r="95" spans="1:11" ht="14.5" x14ac:dyDescent="0.35">
      <c r="A95" s="365" t="str">
        <f t="shared" si="1"/>
        <v xml:space="preserve">P330154 </v>
      </c>
      <c r="B95" s="426" t="s">
        <v>703</v>
      </c>
      <c r="C95" s="401">
        <v>27230</v>
      </c>
      <c r="D95" s="401">
        <v>110</v>
      </c>
      <c r="E95" s="401">
        <f>XledgerData[[#This Row],[Column1]]+XledgerData[[#This Row],[Year to date]]</f>
        <v>27340</v>
      </c>
      <c r="F95" s="359"/>
      <c r="J95" s="391"/>
      <c r="K95" s="482"/>
    </row>
    <row r="96" spans="1:11" ht="14.5" x14ac:dyDescent="0.35">
      <c r="A96" s="364" t="str">
        <f t="shared" si="1"/>
        <v xml:space="preserve">C330075 </v>
      </c>
      <c r="B96" s="437" t="s">
        <v>846</v>
      </c>
      <c r="C96" s="411">
        <v>12606</v>
      </c>
      <c r="D96" s="411"/>
      <c r="E96" s="411">
        <f>XledgerData[[#This Row],[Column1]]+XledgerData[[#This Row],[Year to date]]</f>
        <v>12606</v>
      </c>
      <c r="F96" s="359"/>
      <c r="J96" s="391"/>
      <c r="K96" s="482"/>
    </row>
    <row r="97" spans="1:11" ht="14.5" x14ac:dyDescent="0.35">
      <c r="A97" s="394" t="str">
        <f t="shared" si="1"/>
        <v xml:space="preserve">P330321 </v>
      </c>
      <c r="B97" s="448" t="s">
        <v>1446</v>
      </c>
      <c r="C97" s="499">
        <v>29245</v>
      </c>
      <c r="D97" s="499"/>
      <c r="E97" s="499">
        <f>XledgerData[[#This Row],[Column1]]+XledgerData[[#This Row],[Year to date]]</f>
        <v>29245</v>
      </c>
      <c r="F97" s="359"/>
      <c r="J97" s="391"/>
      <c r="K97" s="482"/>
    </row>
    <row r="98" spans="1:11" ht="14.5" x14ac:dyDescent="0.35">
      <c r="A98" s="491" t="str">
        <f t="shared" si="1"/>
        <v xml:space="preserve">P330265 </v>
      </c>
      <c r="B98" s="492" t="s">
        <v>1441</v>
      </c>
      <c r="C98" s="493">
        <v>9568</v>
      </c>
      <c r="D98" s="493"/>
      <c r="E98" s="493">
        <f>XledgerData[[#This Row],[Column1]]+XledgerData[[#This Row],[Year to date]]</f>
        <v>9568</v>
      </c>
      <c r="F98" s="359"/>
      <c r="J98" s="391"/>
      <c r="K98" s="482"/>
    </row>
    <row r="99" spans="1:11" ht="15" thickBot="1" x14ac:dyDescent="0.4">
      <c r="A99" s="364" t="str">
        <f t="shared" si="1"/>
        <v xml:space="preserve">P330092 </v>
      </c>
      <c r="B99" s="437" t="s">
        <v>669</v>
      </c>
      <c r="C99" s="411">
        <v>27300</v>
      </c>
      <c r="D99" s="411">
        <v>2700</v>
      </c>
      <c r="E99" s="411">
        <f>XledgerData[[#This Row],[Column1]]+XledgerData[[#This Row],[Year to date]]</f>
        <v>30000</v>
      </c>
      <c r="F99" s="359"/>
      <c r="J99" s="391"/>
      <c r="K99" s="482"/>
    </row>
    <row r="100" spans="1:11" ht="15" thickBot="1" x14ac:dyDescent="0.4">
      <c r="A100" s="556" t="str">
        <f t="shared" si="1"/>
        <v xml:space="preserve">P330072 </v>
      </c>
      <c r="B100" s="433" t="s">
        <v>1472</v>
      </c>
      <c r="C100" s="413">
        <v>11250</v>
      </c>
      <c r="D100" s="413"/>
      <c r="E100" s="413">
        <f>XledgerData[[#This Row],[Column1]]+XledgerData[[#This Row],[Year to date]]</f>
        <v>11250</v>
      </c>
      <c r="F100" s="359"/>
      <c r="J100" s="391"/>
      <c r="K100" s="482"/>
    </row>
    <row r="101" spans="1:11" ht="14.5" x14ac:dyDescent="0.35">
      <c r="A101" s="470" t="str">
        <f t="shared" si="1"/>
        <v xml:space="preserve">P330455 </v>
      </c>
      <c r="B101" s="471" t="s">
        <v>1461</v>
      </c>
      <c r="C101" s="472">
        <v>8820</v>
      </c>
      <c r="D101" s="472"/>
      <c r="E101" s="472">
        <f>XledgerData[[#This Row],[Column1]]+XledgerData[[#This Row],[Year to date]]</f>
        <v>8820</v>
      </c>
      <c r="F101" s="359"/>
      <c r="J101" s="391"/>
      <c r="K101" s="482"/>
    </row>
    <row r="102" spans="1:11" ht="14.5" x14ac:dyDescent="0.35">
      <c r="A102" s="494" t="str">
        <f t="shared" si="1"/>
        <v xml:space="preserve">P330102 </v>
      </c>
      <c r="B102" s="483" t="s">
        <v>674</v>
      </c>
      <c r="C102" s="453">
        <v>26336</v>
      </c>
      <c r="D102" s="453"/>
      <c r="E102" s="453">
        <f>XledgerData[[#This Row],[Column1]]+XledgerData[[#This Row],[Year to date]]</f>
        <v>26336</v>
      </c>
      <c r="F102" s="359"/>
      <c r="J102" s="391"/>
      <c r="K102" s="482"/>
    </row>
    <row r="103" spans="1:11" ht="14.5" x14ac:dyDescent="0.35">
      <c r="A103" s="364" t="str">
        <f t="shared" si="1"/>
        <v xml:space="preserve">P330097 </v>
      </c>
      <c r="B103" s="437" t="s">
        <v>671</v>
      </c>
      <c r="C103" s="411">
        <v>50174</v>
      </c>
      <c r="D103" s="411">
        <v>2182.11</v>
      </c>
      <c r="E103" s="411">
        <f>XledgerData[[#This Row],[Column1]]+XledgerData[[#This Row],[Year to date]]</f>
        <v>52356.11</v>
      </c>
      <c r="F103" s="359"/>
      <c r="J103" s="46"/>
      <c r="K103" s="390"/>
    </row>
    <row r="104" spans="1:11" ht="14.5" x14ac:dyDescent="0.35">
      <c r="A104" s="490" t="str">
        <f t="shared" si="1"/>
        <v xml:space="preserve">P330134 </v>
      </c>
      <c r="B104" s="488" t="s">
        <v>694</v>
      </c>
      <c r="C104" s="489">
        <v>26702</v>
      </c>
      <c r="D104" s="489"/>
      <c r="E104" s="489">
        <f>XledgerData[[#This Row],[Column1]]+XledgerData[[#This Row],[Year to date]]</f>
        <v>26702</v>
      </c>
      <c r="F104" s="359"/>
      <c r="J104" s="391"/>
      <c r="K104" s="482"/>
    </row>
    <row r="105" spans="1:11" ht="14.5" x14ac:dyDescent="0.35">
      <c r="A105" s="360" t="str">
        <f t="shared" si="1"/>
        <v xml:space="preserve">P330106 </v>
      </c>
      <c r="B105" s="425" t="s">
        <v>675</v>
      </c>
      <c r="C105" s="398">
        <v>18074</v>
      </c>
      <c r="D105" s="398">
        <v>-1374</v>
      </c>
      <c r="E105" s="398">
        <f>XledgerData[[#This Row],[Column1]]+XledgerData[[#This Row],[Year to date]]</f>
        <v>16700</v>
      </c>
      <c r="F105" s="359"/>
      <c r="J105" s="391"/>
      <c r="K105" s="482"/>
    </row>
    <row r="106" spans="1:11" ht="14.5" x14ac:dyDescent="0.35">
      <c r="A106" s="360" t="str">
        <f t="shared" si="1"/>
        <v xml:space="preserve">B111 </v>
      </c>
      <c r="B106" s="425" t="s">
        <v>1355</v>
      </c>
      <c r="C106" s="377">
        <v>3802</v>
      </c>
      <c r="D106" s="377">
        <v>1374</v>
      </c>
      <c r="E106" s="377">
        <f>XledgerData[[#This Row],[Column1]]+XledgerData[[#This Row],[Year to date]]</f>
        <v>5176</v>
      </c>
      <c r="F106" s="359"/>
      <c r="J106" s="391"/>
      <c r="K106" s="482"/>
    </row>
    <row r="107" spans="1:11" ht="14.5" x14ac:dyDescent="0.35">
      <c r="A107" s="456" t="str">
        <f t="shared" si="1"/>
        <v xml:space="preserve">P330044 </v>
      </c>
      <c r="B107" s="457" t="s">
        <v>647</v>
      </c>
      <c r="C107" s="458">
        <v>24488</v>
      </c>
      <c r="D107" s="458"/>
      <c r="E107" s="458">
        <f>XledgerData[[#This Row],[Column1]]+XledgerData[[#This Row],[Year to date]]</f>
        <v>24488</v>
      </c>
      <c r="F107" s="359"/>
      <c r="J107" s="391"/>
      <c r="K107" s="482"/>
    </row>
    <row r="108" spans="1:11" s="46" customFormat="1" ht="14.5" x14ac:dyDescent="0.35">
      <c r="A108" s="484" t="str">
        <f t="shared" si="1"/>
        <v xml:space="preserve">P330179 </v>
      </c>
      <c r="B108" s="454" t="s">
        <v>1481</v>
      </c>
      <c r="C108" s="455">
        <v>5400</v>
      </c>
      <c r="D108" s="455"/>
      <c r="E108" s="455">
        <f>XledgerData[[#This Row],[Column1]]+XledgerData[[#This Row],[Year to date]]</f>
        <v>5400</v>
      </c>
      <c r="F108" s="359"/>
      <c r="K108" s="390"/>
    </row>
    <row r="109" spans="1:11" ht="14.5" x14ac:dyDescent="0.35">
      <c r="A109" s="500" t="str">
        <f t="shared" si="1"/>
        <v xml:space="preserve">P330274 </v>
      </c>
      <c r="B109" s="492" t="s">
        <v>1529</v>
      </c>
      <c r="C109" s="493">
        <v>48000</v>
      </c>
      <c r="D109" s="493">
        <f>13000+5926</f>
        <v>18926</v>
      </c>
      <c r="E109" s="493">
        <f>XledgerData[[#This Row],[Column1]]+XledgerData[[#This Row],[Year to date]]</f>
        <v>66926</v>
      </c>
      <c r="F109" s="372"/>
      <c r="J109" s="391"/>
      <c r="K109" s="482"/>
    </row>
    <row r="110" spans="1:11" ht="14.5" x14ac:dyDescent="0.35">
      <c r="A110" s="364" t="str">
        <f t="shared" si="1"/>
        <v xml:space="preserve">P330086 </v>
      </c>
      <c r="B110" s="446" t="s">
        <v>667</v>
      </c>
      <c r="C110" s="411">
        <v>20000</v>
      </c>
      <c r="D110" s="375"/>
      <c r="E110" s="477">
        <f>XledgerData[[#This Row],[Column1]]+XledgerData[[#This Row],[Year to date]]</f>
        <v>20000</v>
      </c>
      <c r="F110" s="359"/>
      <c r="J110" s="391"/>
      <c r="K110" s="482"/>
    </row>
    <row r="111" spans="1:11" ht="14.5" x14ac:dyDescent="0.35">
      <c r="A111" s="490" t="str">
        <f t="shared" si="1"/>
        <v xml:space="preserve">P330121 </v>
      </c>
      <c r="B111" s="488" t="s">
        <v>684</v>
      </c>
      <c r="C111" s="489">
        <v>26418</v>
      </c>
      <c r="D111" s="489"/>
      <c r="E111" s="489">
        <f>XledgerData[[#This Row],[Column1]]+XledgerData[[#This Row],[Year to date]]</f>
        <v>26418</v>
      </c>
      <c r="F111" s="359"/>
      <c r="J111" s="391"/>
      <c r="K111" s="482"/>
    </row>
    <row r="112" spans="1:11" ht="14.5" x14ac:dyDescent="0.35">
      <c r="A112" s="341" t="str">
        <f t="shared" si="1"/>
        <v xml:space="preserve">P330276 </v>
      </c>
      <c r="B112" s="427" t="s">
        <v>1442</v>
      </c>
      <c r="C112" s="383">
        <v>7000</v>
      </c>
      <c r="D112" s="383"/>
      <c r="E112" s="383">
        <f>XledgerData[[#This Row],[Column1]]+XledgerData[[#This Row],[Year to date]]</f>
        <v>7000</v>
      </c>
      <c r="F112" s="359"/>
      <c r="J112" s="391"/>
      <c r="K112" s="482"/>
    </row>
    <row r="113" spans="1:11" ht="14.5" x14ac:dyDescent="0.35">
      <c r="A113" s="515" t="str">
        <f t="shared" si="1"/>
        <v xml:space="preserve">B115 </v>
      </c>
      <c r="B113" s="509" t="s">
        <v>623</v>
      </c>
      <c r="C113" s="516">
        <v>27000</v>
      </c>
      <c r="D113" s="516"/>
      <c r="E113" s="516">
        <f>XledgerData[[#This Row],[Column1]]+XledgerData[[#This Row],[Year to date]]</f>
        <v>27000</v>
      </c>
      <c r="F113" s="359"/>
      <c r="J113" s="391"/>
      <c r="K113" s="482"/>
    </row>
    <row r="114" spans="1:11" ht="14.5" x14ac:dyDescent="0.35">
      <c r="A114" s="495" t="str">
        <f t="shared" si="1"/>
        <v xml:space="preserve">P330205 </v>
      </c>
      <c r="B114" s="496" t="s">
        <v>1582</v>
      </c>
      <c r="C114" s="497">
        <v>5000</v>
      </c>
      <c r="D114" s="497">
        <v>1392</v>
      </c>
      <c r="E114" s="497">
        <f>XledgerData[[#This Row],[Column1]]+XledgerData[[#This Row],[Year to date]]</f>
        <v>6392</v>
      </c>
      <c r="F114" s="359"/>
      <c r="J114" s="391"/>
      <c r="K114" s="482"/>
    </row>
    <row r="115" spans="1:11" ht="14.5" x14ac:dyDescent="0.35">
      <c r="A115" s="366" t="str">
        <f t="shared" si="1"/>
        <v xml:space="preserve">P330288 </v>
      </c>
      <c r="B115" s="429" t="s">
        <v>759</v>
      </c>
      <c r="C115" s="404">
        <v>23500</v>
      </c>
      <c r="D115" s="404">
        <v>500</v>
      </c>
      <c r="E115" s="404">
        <f>XledgerData[[#This Row],[Column1]]+XledgerData[[#This Row],[Year to date]]</f>
        <v>24000</v>
      </c>
      <c r="F115" s="372"/>
      <c r="J115" s="391"/>
      <c r="K115" s="482"/>
    </row>
    <row r="116" spans="1:11" ht="14.5" x14ac:dyDescent="0.35">
      <c r="A116" s="481" t="str">
        <f t="shared" ref="A116:A180" si="2">LEFT(B116,FIND(" ",B116,1))</f>
        <v xml:space="preserve">P330373 </v>
      </c>
      <c r="B116" s="464" t="s">
        <v>1594</v>
      </c>
      <c r="C116" s="465">
        <v>3500</v>
      </c>
      <c r="D116" s="465">
        <f>500+997</f>
        <v>1497</v>
      </c>
      <c r="E116" s="465">
        <f>XledgerData[[#This Row],[Column1]]+XledgerData[[#This Row],[Year to date]]</f>
        <v>4997</v>
      </c>
      <c r="F116" s="359"/>
      <c r="J116" s="391"/>
      <c r="K116" s="482"/>
    </row>
    <row r="117" spans="1:11" ht="14.5" x14ac:dyDescent="0.35">
      <c r="A117" s="350" t="str">
        <f t="shared" si="2"/>
        <v xml:space="preserve">P330144 </v>
      </c>
      <c r="B117" s="459" t="s">
        <v>1520</v>
      </c>
      <c r="C117" s="452">
        <v>4000</v>
      </c>
      <c r="D117" s="452"/>
      <c r="E117" s="452">
        <f>XledgerData[[#This Row],[Column1]]+XledgerData[[#This Row],[Year to date]]</f>
        <v>4000</v>
      </c>
      <c r="F117" s="359"/>
      <c r="J117" s="391"/>
      <c r="K117" s="482"/>
    </row>
    <row r="118" spans="1:11" ht="14.5" x14ac:dyDescent="0.35">
      <c r="A118" s="385" t="str">
        <f t="shared" si="2"/>
        <v xml:space="preserve">P330254 </v>
      </c>
      <c r="B118" s="492" t="s">
        <v>744</v>
      </c>
      <c r="C118" s="493">
        <v>18000</v>
      </c>
      <c r="D118" s="493"/>
      <c r="E118" s="493">
        <f>XledgerData[[#This Row],[Column1]]+XledgerData[[#This Row],[Year to date]]</f>
        <v>18000</v>
      </c>
      <c r="F118" s="359"/>
      <c r="J118" s="391"/>
      <c r="K118" s="482"/>
    </row>
    <row r="119" spans="1:11" ht="14.5" x14ac:dyDescent="0.35">
      <c r="A119" s="451" t="str">
        <f t="shared" si="2"/>
        <v xml:space="preserve">P330158 </v>
      </c>
      <c r="B119" s="459" t="s">
        <v>1477</v>
      </c>
      <c r="C119" s="452">
        <v>10739</v>
      </c>
      <c r="D119" s="452"/>
      <c r="E119" s="452">
        <f>XledgerData[[#This Row],[Column1]]+XledgerData[[#This Row],[Year to date]]</f>
        <v>10739</v>
      </c>
      <c r="F119" s="372"/>
      <c r="J119" s="391"/>
      <c r="K119" s="482"/>
    </row>
    <row r="120" spans="1:11" ht="14.5" x14ac:dyDescent="0.35">
      <c r="A120" s="451" t="str">
        <f t="shared" si="2"/>
        <v xml:space="preserve">P330159 </v>
      </c>
      <c r="B120" s="459" t="s">
        <v>706</v>
      </c>
      <c r="C120" s="452">
        <v>28723</v>
      </c>
      <c r="D120" s="452">
        <v>1000</v>
      </c>
      <c r="E120" s="452">
        <f>XledgerData[[#This Row],[Column1]]+XledgerData[[#This Row],[Year to date]]</f>
        <v>29723</v>
      </c>
      <c r="F120" s="359"/>
      <c r="J120" s="391"/>
      <c r="K120" s="482"/>
    </row>
    <row r="121" spans="1:11" ht="14.5" x14ac:dyDescent="0.35">
      <c r="A121" s="491" t="str">
        <f t="shared" si="2"/>
        <v xml:space="preserve">P330270 </v>
      </c>
      <c r="B121" s="492" t="s">
        <v>749</v>
      </c>
      <c r="C121" s="493">
        <v>12900</v>
      </c>
      <c r="D121" s="493"/>
      <c r="E121" s="493">
        <f>XledgerData[[#This Row],[Column1]]+XledgerData[[#This Row],[Year to date]]</f>
        <v>12900</v>
      </c>
      <c r="F121" s="359"/>
      <c r="J121" s="391"/>
      <c r="K121" s="482"/>
    </row>
    <row r="122" spans="1:11" ht="14.5" x14ac:dyDescent="0.35">
      <c r="A122" s="494" t="str">
        <f t="shared" si="2"/>
        <v xml:space="preserve">P330108 </v>
      </c>
      <c r="B122" s="483" t="s">
        <v>677</v>
      </c>
      <c r="C122" s="453">
        <v>8792</v>
      </c>
      <c r="D122" s="453"/>
      <c r="E122" s="453">
        <f>XledgerData[[#This Row],[Column1]]+XledgerData[[#This Row],[Year to date]]</f>
        <v>8792</v>
      </c>
      <c r="F122" s="372"/>
      <c r="J122" s="391"/>
      <c r="K122" s="482"/>
    </row>
    <row r="123" spans="1:11" ht="14.5" x14ac:dyDescent="0.35">
      <c r="A123" s="473" t="str">
        <f t="shared" si="2"/>
        <v xml:space="preserve">P330419 </v>
      </c>
      <c r="B123" s="474" t="s">
        <v>1456</v>
      </c>
      <c r="C123" s="475">
        <v>19368</v>
      </c>
      <c r="D123" s="475"/>
      <c r="E123" s="475">
        <f>XledgerData[[#This Row],[Column1]]+XledgerData[[#This Row],[Year to date]]</f>
        <v>19368</v>
      </c>
      <c r="F123" s="359"/>
      <c r="J123" s="46"/>
      <c r="K123" s="390"/>
    </row>
    <row r="124" spans="1:11" ht="14.5" x14ac:dyDescent="0.35">
      <c r="A124" s="467" t="str">
        <f t="shared" si="2"/>
        <v xml:space="preserve">P330013 </v>
      </c>
      <c r="B124" s="468" t="s">
        <v>630</v>
      </c>
      <c r="C124" s="469">
        <v>21609</v>
      </c>
      <c r="D124" s="469"/>
      <c r="E124" s="469">
        <f>XledgerData[[#This Row],[Column1]]+XledgerData[[#This Row],[Year to date]]</f>
        <v>21609</v>
      </c>
      <c r="F124" s="359"/>
      <c r="J124" s="391"/>
      <c r="K124" s="482"/>
    </row>
    <row r="125" spans="1:11" ht="14.5" x14ac:dyDescent="0.35">
      <c r="A125" s="490" t="str">
        <f t="shared" si="2"/>
        <v xml:space="preserve">P330130 </v>
      </c>
      <c r="B125" s="488" t="s">
        <v>1413</v>
      </c>
      <c r="C125" s="489">
        <v>7100</v>
      </c>
      <c r="D125" s="489"/>
      <c r="E125" s="489">
        <f>XledgerData[[#This Row],[Column1]]+XledgerData[[#This Row],[Year to date]]</f>
        <v>7100</v>
      </c>
      <c r="F125" s="359"/>
      <c r="J125" s="391"/>
      <c r="K125" s="482"/>
    </row>
    <row r="126" spans="1:11" ht="14.5" x14ac:dyDescent="0.35">
      <c r="A126" s="500" t="str">
        <f t="shared" si="2"/>
        <v xml:space="preserve">P330267 </v>
      </c>
      <c r="B126" s="492" t="s">
        <v>1490</v>
      </c>
      <c r="C126" s="493">
        <v>4771</v>
      </c>
      <c r="D126" s="493"/>
      <c r="E126" s="493">
        <f>XledgerData[[#This Row],[Column1]]+XledgerData[[#This Row],[Year to date]]</f>
        <v>4771</v>
      </c>
      <c r="F126" s="359"/>
      <c r="J126" s="391"/>
      <c r="K126" s="482"/>
    </row>
    <row r="127" spans="1:11" ht="14.5" x14ac:dyDescent="0.35">
      <c r="A127" s="495" t="str">
        <f t="shared" si="2"/>
        <v xml:space="preserve">P330199 </v>
      </c>
      <c r="B127" s="496" t="s">
        <v>724</v>
      </c>
      <c r="C127" s="497">
        <v>7683</v>
      </c>
      <c r="D127" s="497"/>
      <c r="E127" s="497">
        <f>XledgerData[[#This Row],[Column1]]+XledgerData[[#This Row],[Year to date]]</f>
        <v>7683</v>
      </c>
      <c r="F127" s="359"/>
      <c r="J127" s="391"/>
      <c r="K127" s="482"/>
    </row>
    <row r="128" spans="1:11" ht="14.5" x14ac:dyDescent="0.35">
      <c r="A128" s="463" t="str">
        <f t="shared" si="2"/>
        <v xml:space="preserve">P330388 </v>
      </c>
      <c r="B128" s="464" t="s">
        <v>1455</v>
      </c>
      <c r="C128" s="465">
        <v>17360</v>
      </c>
      <c r="D128" s="465">
        <v>904</v>
      </c>
      <c r="E128" s="465">
        <f>XledgerData[[#This Row],[Column1]]+XledgerData[[#This Row],[Year to date]]</f>
        <v>18264</v>
      </c>
      <c r="F128" s="372"/>
      <c r="J128" s="391"/>
      <c r="K128" s="482"/>
    </row>
    <row r="129" spans="1:11" ht="14.5" x14ac:dyDescent="0.35">
      <c r="A129" s="349" t="str">
        <f t="shared" si="2"/>
        <v xml:space="preserve">P330056 </v>
      </c>
      <c r="B129" s="433" t="s">
        <v>1608</v>
      </c>
      <c r="C129" s="413">
        <v>9716</v>
      </c>
      <c r="D129" s="413">
        <v>4</v>
      </c>
      <c r="E129" s="413">
        <f>XledgerData[[#This Row],[Column1]]+XledgerData[[#This Row],[Year to date]]</f>
        <v>9720</v>
      </c>
      <c r="F129" s="359"/>
      <c r="J129" s="391"/>
      <c r="K129" s="482"/>
    </row>
    <row r="130" spans="1:11" ht="14.5" x14ac:dyDescent="0.35">
      <c r="A130" s="467" t="str">
        <f t="shared" si="2"/>
        <v xml:space="preserve">P330019 </v>
      </c>
      <c r="B130" s="468" t="s">
        <v>632</v>
      </c>
      <c r="C130" s="469">
        <v>19139</v>
      </c>
      <c r="D130" s="469"/>
      <c r="E130" s="469">
        <f>XledgerData[[#This Row],[Column1]]+XledgerData[[#This Row],[Year to date]]</f>
        <v>19139</v>
      </c>
      <c r="F130" s="359"/>
      <c r="J130" s="391"/>
      <c r="K130" s="482"/>
    </row>
    <row r="131" spans="1:11" ht="14.5" x14ac:dyDescent="0.35">
      <c r="A131" s="449" t="str">
        <f t="shared" si="2"/>
        <v xml:space="preserve">P330225 </v>
      </c>
      <c r="B131" s="460" t="s">
        <v>730</v>
      </c>
      <c r="C131" s="450">
        <v>6620</v>
      </c>
      <c r="D131" s="450"/>
      <c r="E131" s="450">
        <f>XledgerData[[#This Row],[Column1]]+XledgerData[[#This Row],[Year to date]]</f>
        <v>6620</v>
      </c>
      <c r="F131" s="359"/>
      <c r="J131" s="391"/>
      <c r="K131" s="482"/>
    </row>
    <row r="132" spans="1:11" ht="14.5" x14ac:dyDescent="0.35">
      <c r="A132" s="508" t="str">
        <f t="shared" si="2"/>
        <v xml:space="preserve">P330076 </v>
      </c>
      <c r="B132" s="509" t="s">
        <v>1473</v>
      </c>
      <c r="C132" s="510">
        <v>5063</v>
      </c>
      <c r="D132" s="510"/>
      <c r="E132" s="510">
        <f>XledgerData[[#This Row],[Column1]]+XledgerData[[#This Row],[Year to date]]</f>
        <v>5063</v>
      </c>
      <c r="F132" s="359"/>
      <c r="J132" s="391"/>
      <c r="K132" s="482"/>
    </row>
    <row r="133" spans="1:11" ht="14.5" x14ac:dyDescent="0.35">
      <c r="A133" s="347" t="str">
        <f t="shared" si="2"/>
        <v xml:space="preserve">P330077 </v>
      </c>
      <c r="B133" s="437" t="s">
        <v>662</v>
      </c>
      <c r="C133" s="411">
        <v>8937</v>
      </c>
      <c r="D133" s="411"/>
      <c r="E133" s="411">
        <f>XledgerData[[#This Row],[Column1]]+XledgerData[[#This Row],[Year to date]]</f>
        <v>8937</v>
      </c>
      <c r="F133" s="359"/>
      <c r="J133" s="391"/>
      <c r="K133" s="482"/>
    </row>
    <row r="134" spans="1:11" ht="14.5" x14ac:dyDescent="0.35">
      <c r="A134" s="451" t="str">
        <f t="shared" si="2"/>
        <v xml:space="preserve">P330157 </v>
      </c>
      <c r="B134" s="459" t="s">
        <v>705</v>
      </c>
      <c r="C134" s="452">
        <v>7384</v>
      </c>
      <c r="D134" s="452"/>
      <c r="E134" s="452">
        <f>XledgerData[[#This Row],[Column1]]+XledgerData[[#This Row],[Year to date]]</f>
        <v>7384</v>
      </c>
      <c r="F134" s="359"/>
      <c r="J134" s="391"/>
      <c r="K134" s="482"/>
    </row>
    <row r="135" spans="1:11" ht="14.5" x14ac:dyDescent="0.35">
      <c r="A135" s="340" t="str">
        <f t="shared" si="2"/>
        <v xml:space="preserve">P330257 </v>
      </c>
      <c r="B135" s="427" t="s">
        <v>1489</v>
      </c>
      <c r="C135" s="383">
        <v>4500</v>
      </c>
      <c r="D135" s="383"/>
      <c r="E135" s="383">
        <f>XledgerData[[#This Row],[Column1]]+XledgerData[[#This Row],[Year to date]]</f>
        <v>4500</v>
      </c>
      <c r="F135" s="359"/>
      <c r="J135" s="46"/>
      <c r="K135" s="390"/>
    </row>
    <row r="136" spans="1:11" ht="14.5" x14ac:dyDescent="0.35">
      <c r="A136" s="386" t="str">
        <f t="shared" si="2"/>
        <v xml:space="preserve">P330325 </v>
      </c>
      <c r="B136" s="436" t="s">
        <v>1620</v>
      </c>
      <c r="C136" s="514">
        <v>1500</v>
      </c>
      <c r="D136" s="514">
        <v>500</v>
      </c>
      <c r="E136" s="514">
        <f>XledgerData[[#This Row],[Column1]]+XledgerData[[#This Row],[Year to date]]</f>
        <v>2000</v>
      </c>
      <c r="F136" s="359"/>
      <c r="J136" s="391"/>
      <c r="K136" s="482"/>
    </row>
    <row r="137" spans="1:11" ht="14.5" x14ac:dyDescent="0.35">
      <c r="A137" s="363" t="str">
        <f t="shared" si="2"/>
        <v xml:space="preserve">P330007 </v>
      </c>
      <c r="B137" s="468" t="s">
        <v>1367</v>
      </c>
      <c r="C137" s="469">
        <v>6000</v>
      </c>
      <c r="D137" s="469"/>
      <c r="E137" s="469">
        <f>XledgerData[[#This Row],[Column1]]+XledgerData[[#This Row],[Year to date]]</f>
        <v>6000</v>
      </c>
      <c r="F137" s="372"/>
      <c r="J137" s="391"/>
      <c r="K137" s="482"/>
    </row>
    <row r="138" spans="1:11" ht="14.5" x14ac:dyDescent="0.35">
      <c r="A138" s="360" t="str">
        <f t="shared" si="2"/>
        <v xml:space="preserve">P330101 </v>
      </c>
      <c r="B138" s="425" t="s">
        <v>673</v>
      </c>
      <c r="C138" s="398">
        <v>28400</v>
      </c>
      <c r="D138" s="398"/>
      <c r="E138" s="398">
        <f>XledgerData[[#This Row],[Column1]]+XledgerData[[#This Row],[Year to date]]</f>
        <v>28400</v>
      </c>
      <c r="F138" s="372"/>
      <c r="J138" s="391"/>
      <c r="K138" s="482"/>
    </row>
    <row r="139" spans="1:11" ht="14.5" x14ac:dyDescent="0.35">
      <c r="A139" s="451" t="str">
        <f t="shared" si="2"/>
        <v xml:space="preserve">P330155 </v>
      </c>
      <c r="B139" s="459" t="s">
        <v>704</v>
      </c>
      <c r="C139" s="452">
        <v>17292</v>
      </c>
      <c r="D139" s="452"/>
      <c r="E139" s="452">
        <f>XledgerData[[#This Row],[Column1]]+XledgerData[[#This Row],[Year to date]]</f>
        <v>17292</v>
      </c>
      <c r="F139" s="359"/>
      <c r="J139" s="391"/>
      <c r="K139" s="482"/>
    </row>
    <row r="140" spans="1:11" ht="14.5" x14ac:dyDescent="0.35">
      <c r="A140" s="336" t="str">
        <f t="shared" si="2"/>
        <v xml:space="preserve">P330043 </v>
      </c>
      <c r="B140" s="424" t="s">
        <v>646</v>
      </c>
      <c r="C140" s="412">
        <v>5032</v>
      </c>
      <c r="D140" s="412"/>
      <c r="E140" s="412">
        <f>XledgerData[[#This Row],[Column1]]+XledgerData[[#This Row],[Year to date]]</f>
        <v>5032</v>
      </c>
      <c r="F140" s="359"/>
      <c r="J140" s="391"/>
      <c r="K140" s="482"/>
    </row>
    <row r="141" spans="1:11" ht="14.5" x14ac:dyDescent="0.35">
      <c r="A141" s="360" t="str">
        <f t="shared" si="2"/>
        <v xml:space="preserve">P330099 </v>
      </c>
      <c r="B141" s="425" t="s">
        <v>1596</v>
      </c>
      <c r="C141" s="398">
        <v>3400</v>
      </c>
      <c r="D141" s="398">
        <v>600</v>
      </c>
      <c r="E141" s="398">
        <f>XledgerData[[#This Row],[Column1]]+XledgerData[[#This Row],[Year to date]]</f>
        <v>4000</v>
      </c>
      <c r="F141" s="359"/>
      <c r="J141" s="46"/>
      <c r="K141" s="390"/>
    </row>
    <row r="142" spans="1:11" ht="14.5" x14ac:dyDescent="0.35">
      <c r="A142" s="336" t="str">
        <f t="shared" si="2"/>
        <v xml:space="preserve">P330046 </v>
      </c>
      <c r="B142" s="424" t="s">
        <v>648</v>
      </c>
      <c r="C142" s="412">
        <v>8328</v>
      </c>
      <c r="D142" s="412"/>
      <c r="E142" s="412">
        <f>XledgerData[[#This Row],[Column1]]+XledgerData[[#This Row],[Year to date]]</f>
        <v>8328</v>
      </c>
      <c r="F142" s="359"/>
      <c r="J142" s="391"/>
      <c r="K142" s="482"/>
    </row>
    <row r="143" spans="1:11" ht="14.5" x14ac:dyDescent="0.35">
      <c r="A143" s="389" t="str">
        <f t="shared" si="2"/>
        <v xml:space="preserve">P330465 </v>
      </c>
      <c r="B143" s="447" t="s">
        <v>1514</v>
      </c>
      <c r="C143" s="466">
        <v>5356</v>
      </c>
      <c r="D143" s="466"/>
      <c r="E143" s="466">
        <f>XledgerData[[#This Row],[Column1]]+XledgerData[[#This Row],[Year to date]]</f>
        <v>5356</v>
      </c>
      <c r="F143" s="359"/>
      <c r="J143" s="391"/>
      <c r="K143" s="482"/>
    </row>
    <row r="144" spans="1:11" ht="14.5" x14ac:dyDescent="0.35">
      <c r="A144" s="501" t="str">
        <f t="shared" si="2"/>
        <v xml:space="preserve">P330178 </v>
      </c>
      <c r="B144" s="454" t="s">
        <v>1480</v>
      </c>
      <c r="C144" s="455">
        <v>3800</v>
      </c>
      <c r="D144" s="455"/>
      <c r="E144" s="455">
        <f>XledgerData[[#This Row],[Column1]]+XledgerData[[#This Row],[Year to date]]</f>
        <v>3800</v>
      </c>
      <c r="F144" s="359"/>
      <c r="J144" s="46"/>
      <c r="K144" s="390"/>
    </row>
    <row r="145" spans="1:11" s="46" customFormat="1" ht="14.5" x14ac:dyDescent="0.35">
      <c r="A145" s="517" t="str">
        <f t="shared" si="2"/>
        <v xml:space="preserve">P330396 </v>
      </c>
      <c r="B145" s="479" t="s">
        <v>794</v>
      </c>
      <c r="C145" s="480">
        <v>46500</v>
      </c>
      <c r="D145" s="480"/>
      <c r="E145" s="480">
        <f>XledgerData[[#This Row],[Column1]]+XledgerData[[#This Row],[Year to date]]</f>
        <v>46500</v>
      </c>
      <c r="F145" s="359"/>
      <c r="J145" s="391"/>
      <c r="K145" s="482"/>
    </row>
    <row r="146" spans="1:11" ht="14.5" x14ac:dyDescent="0.35">
      <c r="A146" s="470" t="str">
        <f t="shared" si="2"/>
        <v xml:space="preserve">P330457 </v>
      </c>
      <c r="B146" s="471" t="s">
        <v>826</v>
      </c>
      <c r="C146" s="472">
        <v>15708</v>
      </c>
      <c r="D146" s="472"/>
      <c r="E146" s="472">
        <f>XledgerData[[#This Row],[Column1]]+XledgerData[[#This Row],[Year to date]]</f>
        <v>15708</v>
      </c>
      <c r="F146" s="359"/>
      <c r="J146" s="46"/>
      <c r="K146" s="390"/>
    </row>
    <row r="147" spans="1:11" ht="14.5" x14ac:dyDescent="0.35">
      <c r="A147" s="392" t="str">
        <f t="shared" si="2"/>
        <v xml:space="preserve">P330400 </v>
      </c>
      <c r="B147" s="432" t="s">
        <v>798</v>
      </c>
      <c r="C147" s="407">
        <v>11646</v>
      </c>
      <c r="D147" s="407"/>
      <c r="E147" s="407">
        <f>XledgerData[[#This Row],[Column1]]+XledgerData[[#This Row],[Year to date]]</f>
        <v>11646</v>
      </c>
      <c r="F147" s="359"/>
      <c r="J147" s="391"/>
      <c r="K147" s="482"/>
    </row>
    <row r="148" spans="1:11" ht="14.5" x14ac:dyDescent="0.35">
      <c r="A148" s="527" t="str">
        <f t="shared" si="2"/>
        <v xml:space="preserve">P330351 </v>
      </c>
      <c r="B148" s="430" t="s">
        <v>1575</v>
      </c>
      <c r="C148" s="406">
        <v>3262</v>
      </c>
      <c r="D148" s="406"/>
      <c r="E148" s="406">
        <f>XledgerData[[#This Row],[Column1]]+XledgerData[[#This Row],[Year to date]]</f>
        <v>3262</v>
      </c>
      <c r="F148" s="359"/>
      <c r="J148" s="391"/>
      <c r="K148" s="482"/>
    </row>
    <row r="149" spans="1:11" ht="14.5" x14ac:dyDescent="0.35">
      <c r="A149" s="564" t="str">
        <f t="shared" si="2"/>
        <v xml:space="preserve">P330314 </v>
      </c>
      <c r="B149" s="454" t="s">
        <v>772</v>
      </c>
      <c r="C149" s="455">
        <v>14966</v>
      </c>
      <c r="D149" s="455"/>
      <c r="E149" s="455">
        <f>XledgerData[[#This Row],[Column1]]+XledgerData[[#This Row],[Year to date]]</f>
        <v>14966</v>
      </c>
      <c r="F149" s="359"/>
      <c r="J149" s="391"/>
      <c r="K149" s="482"/>
    </row>
    <row r="150" spans="1:11" ht="14.5" x14ac:dyDescent="0.35">
      <c r="A150" s="515" t="str">
        <f t="shared" si="2"/>
        <v xml:space="preserve">P330084 </v>
      </c>
      <c r="B150" s="509" t="s">
        <v>666</v>
      </c>
      <c r="C150" s="510">
        <v>60030</v>
      </c>
      <c r="D150" s="510"/>
      <c r="E150" s="510">
        <f>XledgerData[[#This Row],[Column1]]+XledgerData[[#This Row],[Year to date]]</f>
        <v>60030</v>
      </c>
      <c r="F150" s="359"/>
      <c r="J150" s="391"/>
      <c r="K150" s="482"/>
    </row>
    <row r="151" spans="1:11" ht="14.5" x14ac:dyDescent="0.35">
      <c r="A151" s="456" t="str">
        <f t="shared" si="2"/>
        <v xml:space="preserve">P330042 </v>
      </c>
      <c r="B151" s="457" t="s">
        <v>645</v>
      </c>
      <c r="C151" s="458">
        <v>13805</v>
      </c>
      <c r="D151" s="458"/>
      <c r="E151" s="458">
        <f>XledgerData[[#This Row],[Column1]]+XledgerData[[#This Row],[Year to date]]</f>
        <v>13805</v>
      </c>
      <c r="F151" s="372"/>
      <c r="J151" s="391"/>
      <c r="K151" s="482"/>
    </row>
    <row r="152" spans="1:11" ht="14.5" x14ac:dyDescent="0.35">
      <c r="A152" s="397" t="str">
        <f t="shared" si="2"/>
        <v xml:space="preserve">P330481 </v>
      </c>
      <c r="B152" s="431" t="s">
        <v>1588</v>
      </c>
      <c r="C152" s="410">
        <v>4205</v>
      </c>
      <c r="D152" s="410">
        <v>800</v>
      </c>
      <c r="E152" s="410">
        <f>XledgerData[[#This Row],[Column1]]+XledgerData[[#This Row],[Year to date]]</f>
        <v>5005</v>
      </c>
      <c r="F152" s="372"/>
      <c r="J152" s="391"/>
      <c r="K152" s="482"/>
    </row>
    <row r="153" spans="1:11" ht="14.5" x14ac:dyDescent="0.35">
      <c r="A153" s="449" t="str">
        <f t="shared" si="2"/>
        <v xml:space="preserve">P330244 </v>
      </c>
      <c r="B153" s="460" t="s">
        <v>740</v>
      </c>
      <c r="C153" s="450">
        <v>14102</v>
      </c>
      <c r="D153" s="450"/>
      <c r="E153" s="450">
        <f>XledgerData[[#This Row],[Column1]]+XledgerData[[#This Row],[Year to date]]</f>
        <v>14102</v>
      </c>
      <c r="F153" s="359"/>
      <c r="J153" s="391"/>
      <c r="K153" s="482"/>
    </row>
    <row r="154" spans="1:11" ht="14.5" x14ac:dyDescent="0.35">
      <c r="A154" s="470" t="str">
        <f t="shared" si="2"/>
        <v xml:space="preserve">P330443 </v>
      </c>
      <c r="B154" s="471" t="s">
        <v>818</v>
      </c>
      <c r="C154" s="472">
        <v>14040</v>
      </c>
      <c r="D154" s="472">
        <v>500</v>
      </c>
      <c r="E154" s="472">
        <f>XledgerData[[#This Row],[Column1]]+XledgerData[[#This Row],[Year to date]]</f>
        <v>14540</v>
      </c>
      <c r="F154" s="359"/>
      <c r="J154" s="391"/>
      <c r="K154" s="482"/>
    </row>
    <row r="155" spans="1:11" ht="14.5" x14ac:dyDescent="0.35">
      <c r="A155" s="517" t="str">
        <f t="shared" si="2"/>
        <v xml:space="preserve">P330407 </v>
      </c>
      <c r="B155" s="479" t="s">
        <v>801</v>
      </c>
      <c r="C155" s="480">
        <v>2800</v>
      </c>
      <c r="D155" s="480">
        <v>1363</v>
      </c>
      <c r="E155" s="480">
        <f>XledgerData[[#This Row],[Column1]]+XledgerData[[#This Row],[Year to date]]</f>
        <v>4163</v>
      </c>
      <c r="F155" s="359"/>
      <c r="J155" s="391"/>
      <c r="K155" s="482"/>
    </row>
    <row r="156" spans="1:11" ht="14.5" x14ac:dyDescent="0.35">
      <c r="A156" s="463" t="str">
        <f t="shared" si="2"/>
        <v xml:space="preserve">P330369 </v>
      </c>
      <c r="B156" s="464" t="s">
        <v>1593</v>
      </c>
      <c r="C156" s="465">
        <v>3137</v>
      </c>
      <c r="D156" s="465"/>
      <c r="E156" s="465">
        <f>XledgerData[[#This Row],[Column1]]+XledgerData[[#This Row],[Year to date]]</f>
        <v>3137</v>
      </c>
      <c r="F156" s="372"/>
      <c r="J156" s="391"/>
      <c r="K156" s="482"/>
    </row>
    <row r="157" spans="1:11" ht="14.5" x14ac:dyDescent="0.35">
      <c r="A157" s="490" t="str">
        <f t="shared" si="2"/>
        <v xml:space="preserve">P330137 </v>
      </c>
      <c r="B157" s="488" t="s">
        <v>695</v>
      </c>
      <c r="C157" s="489">
        <v>13380</v>
      </c>
      <c r="D157" s="489"/>
      <c r="E157" s="489">
        <f>XledgerData[[#This Row],[Column1]]+XledgerData[[#This Row],[Year to date]]</f>
        <v>13380</v>
      </c>
      <c r="F157" s="372"/>
      <c r="J157" s="391"/>
      <c r="K157" s="482"/>
    </row>
    <row r="158" spans="1:11" ht="14.5" x14ac:dyDescent="0.35">
      <c r="A158" s="503" t="str">
        <f t="shared" si="2"/>
        <v xml:space="preserve">P330226 </v>
      </c>
      <c r="B158" s="460" t="s">
        <v>731</v>
      </c>
      <c r="C158" s="450">
        <v>12144</v>
      </c>
      <c r="D158" s="450">
        <v>1096</v>
      </c>
      <c r="E158" s="450">
        <f>XledgerData[[#This Row],[Column1]]+XledgerData[[#This Row],[Year to date]]</f>
        <v>13240</v>
      </c>
      <c r="F158" s="372"/>
      <c r="J158" s="391"/>
      <c r="K158" s="482"/>
    </row>
    <row r="159" spans="1:11" s="46" customFormat="1" ht="14.5" x14ac:dyDescent="0.35">
      <c r="A159" s="527" t="str">
        <f t="shared" si="2"/>
        <v xml:space="preserve">P330355 </v>
      </c>
      <c r="B159" s="430" t="s">
        <v>1628</v>
      </c>
      <c r="C159" s="406">
        <v>0</v>
      </c>
      <c r="D159" s="406">
        <v>1000</v>
      </c>
      <c r="E159" s="406">
        <f>XledgerData[[#This Row],[Column1]]+XledgerData[[#This Row],[Year to date]]</f>
        <v>1000</v>
      </c>
      <c r="F159" s="372"/>
      <c r="J159" s="391"/>
      <c r="K159" s="482"/>
    </row>
    <row r="160" spans="1:11" ht="14.5" x14ac:dyDescent="0.35">
      <c r="A160" s="360" t="str">
        <f t="shared" si="2"/>
        <v xml:space="preserve">P330112 </v>
      </c>
      <c r="B160" s="425" t="s">
        <v>679</v>
      </c>
      <c r="C160" s="398">
        <v>12200</v>
      </c>
      <c r="D160" s="398">
        <v>600</v>
      </c>
      <c r="E160" s="398">
        <f>XledgerData[[#This Row],[Column1]]+XledgerData[[#This Row],[Year to date]]</f>
        <v>12800</v>
      </c>
      <c r="F160" s="359"/>
      <c r="J160" s="391"/>
      <c r="K160" s="482"/>
    </row>
    <row r="161" spans="1:11" ht="14.5" x14ac:dyDescent="0.35">
      <c r="A161" s="491" t="str">
        <f t="shared" si="2"/>
        <v xml:space="preserve">P330279 </v>
      </c>
      <c r="B161" s="492" t="s">
        <v>753</v>
      </c>
      <c r="C161" s="493">
        <v>4068</v>
      </c>
      <c r="D161" s="493"/>
      <c r="E161" s="493">
        <f>XledgerData[[#This Row],[Column1]]+XledgerData[[#This Row],[Year to date]]</f>
        <v>4068</v>
      </c>
      <c r="F161" s="359"/>
      <c r="J161" s="391"/>
      <c r="K161" s="482"/>
    </row>
    <row r="162" spans="1:11" ht="14.5" x14ac:dyDescent="0.35">
      <c r="A162" s="498" t="str">
        <f t="shared" si="2"/>
        <v xml:space="preserve">P330057 </v>
      </c>
      <c r="B162" s="461" t="s">
        <v>654</v>
      </c>
      <c r="C162" s="462">
        <v>12760</v>
      </c>
      <c r="D162" s="462"/>
      <c r="E162" s="462">
        <f>XledgerData[[#This Row],[Column1]]+XledgerData[[#This Row],[Year to date]]</f>
        <v>12760</v>
      </c>
      <c r="F162" s="359"/>
      <c r="J162" s="46"/>
      <c r="K162" s="390"/>
    </row>
    <row r="163" spans="1:11" ht="14.5" x14ac:dyDescent="0.35">
      <c r="A163" s="389" t="str">
        <f t="shared" si="2"/>
        <v xml:space="preserve">P330475 </v>
      </c>
      <c r="B163" s="447" t="s">
        <v>1463</v>
      </c>
      <c r="C163" s="466">
        <v>8154</v>
      </c>
      <c r="D163" s="466"/>
      <c r="E163" s="466">
        <f>XledgerData[[#This Row],[Column1]]+XledgerData[[#This Row],[Year to date]]</f>
        <v>8154</v>
      </c>
      <c r="F163" s="359"/>
      <c r="J163" s="391"/>
      <c r="K163" s="482"/>
    </row>
    <row r="164" spans="1:11" ht="14.5" x14ac:dyDescent="0.35">
      <c r="A164" s="366" t="str">
        <f t="shared" si="2"/>
        <v xml:space="preserve">P330296 </v>
      </c>
      <c r="B164" s="486" t="s">
        <v>763</v>
      </c>
      <c r="C164" s="487">
        <v>57428</v>
      </c>
      <c r="D164" s="487"/>
      <c r="E164" s="487">
        <f>XledgerData[[#This Row],[Column1]]+XledgerData[[#This Row],[Year to date]]</f>
        <v>57428</v>
      </c>
      <c r="F164" s="372"/>
      <c r="J164" s="46"/>
      <c r="K164" s="390"/>
    </row>
    <row r="165" spans="1:11" ht="14.5" x14ac:dyDescent="0.35">
      <c r="A165" s="463" t="str">
        <f t="shared" si="2"/>
        <v xml:space="preserve">P330385 </v>
      </c>
      <c r="B165" s="464" t="s">
        <v>790</v>
      </c>
      <c r="C165" s="465">
        <v>16259</v>
      </c>
      <c r="D165" s="465"/>
      <c r="E165" s="465">
        <f>XledgerData[[#This Row],[Column1]]+XledgerData[[#This Row],[Year to date]]</f>
        <v>16259</v>
      </c>
      <c r="F165" s="359"/>
      <c r="J165" s="46"/>
      <c r="K165" s="390"/>
    </row>
    <row r="166" spans="1:11" ht="14.5" x14ac:dyDescent="0.35">
      <c r="A166" s="381" t="str">
        <f t="shared" si="2"/>
        <v xml:space="preserve">P330052 </v>
      </c>
      <c r="B166" s="433" t="s">
        <v>1557</v>
      </c>
      <c r="C166" s="413">
        <v>7000</v>
      </c>
      <c r="D166" s="413"/>
      <c r="E166" s="413">
        <f>XledgerData[[#This Row],[Column1]]+XledgerData[[#This Row],[Year to date]]</f>
        <v>7000</v>
      </c>
      <c r="F166" s="359"/>
      <c r="J166" s="391"/>
      <c r="K166" s="482"/>
    </row>
    <row r="167" spans="1:11" ht="14.5" x14ac:dyDescent="0.35">
      <c r="A167" s="498" t="str">
        <f t="shared" si="2"/>
        <v xml:space="preserve">P330058 </v>
      </c>
      <c r="B167" s="461" t="s">
        <v>1406</v>
      </c>
      <c r="C167" s="462">
        <v>11227</v>
      </c>
      <c r="D167" s="462"/>
      <c r="E167" s="462">
        <f>XledgerData[[#This Row],[Column1]]+XledgerData[[#This Row],[Year to date]]</f>
        <v>11227</v>
      </c>
      <c r="F167" s="372"/>
      <c r="J167" s="46"/>
      <c r="K167" s="390"/>
    </row>
    <row r="168" spans="1:11" ht="14.5" x14ac:dyDescent="0.35">
      <c r="A168" s="371" t="str">
        <f t="shared" si="2"/>
        <v xml:space="preserve">P330341 </v>
      </c>
      <c r="B168" s="430" t="s">
        <v>1494</v>
      </c>
      <c r="C168" s="406">
        <v>1750</v>
      </c>
      <c r="D168" s="406"/>
      <c r="E168" s="406">
        <f>XledgerData[[#This Row],[Column1]]+XledgerData[[#This Row],[Year to date]]</f>
        <v>1750</v>
      </c>
      <c r="F168" s="359"/>
      <c r="J168" s="391"/>
      <c r="K168" s="482"/>
    </row>
    <row r="169" spans="1:11" ht="14.5" x14ac:dyDescent="0.35">
      <c r="A169" s="490" t="str">
        <f t="shared" si="2"/>
        <v xml:space="preserve">P330122 </v>
      </c>
      <c r="B169" s="488" t="s">
        <v>685</v>
      </c>
      <c r="C169" s="489">
        <v>10329</v>
      </c>
      <c r="D169" s="489"/>
      <c r="E169" s="489">
        <f>XledgerData[[#This Row],[Column1]]+XledgerData[[#This Row],[Year to date]]</f>
        <v>10329</v>
      </c>
      <c r="F169" s="359"/>
      <c r="J169" s="391"/>
      <c r="K169" s="482"/>
    </row>
    <row r="170" spans="1:11" ht="14.5" x14ac:dyDescent="0.35">
      <c r="A170" s="385" t="str">
        <f t="shared" si="2"/>
        <v xml:space="preserve">P330261 </v>
      </c>
      <c r="B170" s="428" t="s">
        <v>746</v>
      </c>
      <c r="C170" s="403">
        <v>12000</v>
      </c>
      <c r="D170" s="403"/>
      <c r="E170" s="403">
        <f>XledgerData[[#This Row],[Column1]]+XledgerData[[#This Row],[Year to date]]</f>
        <v>12000</v>
      </c>
      <c r="F170" s="359"/>
      <c r="J170" s="391"/>
      <c r="K170" s="482"/>
    </row>
    <row r="171" spans="1:11" ht="14.5" x14ac:dyDescent="0.35">
      <c r="A171" s="384" t="str">
        <f t="shared" si="2"/>
        <v xml:space="preserve">P330452 </v>
      </c>
      <c r="B171" s="439" t="s">
        <v>1600</v>
      </c>
      <c r="C171" s="409">
        <v>3336</v>
      </c>
      <c r="D171" s="409"/>
      <c r="E171" s="409">
        <f>XledgerData[[#This Row],[Column1]]+XledgerData[[#This Row],[Year to date]]</f>
        <v>3336</v>
      </c>
      <c r="F171" s="359"/>
      <c r="J171" s="391"/>
      <c r="K171" s="482"/>
    </row>
    <row r="172" spans="1:11" ht="14.5" x14ac:dyDescent="0.35">
      <c r="A172" s="351" t="str">
        <f t="shared" si="2"/>
        <v xml:space="preserve">P330260 </v>
      </c>
      <c r="B172" s="492" t="s">
        <v>1439</v>
      </c>
      <c r="C172" s="493">
        <v>6272</v>
      </c>
      <c r="D172" s="493"/>
      <c r="E172" s="493">
        <f>XledgerData[[#This Row],[Column1]]+XledgerData[[#This Row],[Year to date]]</f>
        <v>6272</v>
      </c>
      <c r="F172" s="359"/>
      <c r="J172" s="46"/>
      <c r="K172" s="390"/>
    </row>
    <row r="173" spans="1:11" ht="14.5" x14ac:dyDescent="0.35">
      <c r="A173" s="363" t="str">
        <f t="shared" si="2"/>
        <v xml:space="preserve">P330006 </v>
      </c>
      <c r="B173" s="434" t="s">
        <v>1366</v>
      </c>
      <c r="C173" s="414">
        <v>6000</v>
      </c>
      <c r="D173" s="414">
        <v>750</v>
      </c>
      <c r="E173" s="414">
        <f>XledgerData[[#This Row],[Column1]]+XledgerData[[#This Row],[Year to date]]</f>
        <v>6750</v>
      </c>
      <c r="F173" s="359"/>
      <c r="J173" s="391"/>
      <c r="K173" s="482"/>
    </row>
    <row r="174" spans="1:11" ht="14.5" x14ac:dyDescent="0.35">
      <c r="A174" s="451" t="str">
        <f t="shared" si="2"/>
        <v xml:space="preserve">P330165 </v>
      </c>
      <c r="B174" s="459" t="s">
        <v>709</v>
      </c>
      <c r="C174" s="452">
        <v>11421</v>
      </c>
      <c r="D174" s="452"/>
      <c r="E174" s="452">
        <f>XledgerData[[#This Row],[Column1]]+XledgerData[[#This Row],[Year to date]]</f>
        <v>11421</v>
      </c>
      <c r="F174" s="372"/>
      <c r="J174" s="391"/>
      <c r="K174" s="482"/>
    </row>
    <row r="175" spans="1:11" ht="14.5" x14ac:dyDescent="0.35">
      <c r="A175" s="467" t="str">
        <f t="shared" si="2"/>
        <v xml:space="preserve">P330008 </v>
      </c>
      <c r="B175" s="468" t="s">
        <v>626</v>
      </c>
      <c r="C175" s="469">
        <v>5000</v>
      </c>
      <c r="D175" s="469"/>
      <c r="E175" s="469">
        <f>XledgerData[[#This Row],[Column1]]+XledgerData[[#This Row],[Year to date]]</f>
        <v>5000</v>
      </c>
      <c r="F175" s="372"/>
      <c r="J175" s="391"/>
      <c r="K175" s="482"/>
    </row>
    <row r="176" spans="1:11" ht="14.5" x14ac:dyDescent="0.35">
      <c r="A176" s="518" t="str">
        <f t="shared" si="2"/>
        <v xml:space="preserve">P330029 </v>
      </c>
      <c r="B176" s="468" t="s">
        <v>637</v>
      </c>
      <c r="C176" s="469">
        <v>4200</v>
      </c>
      <c r="D176" s="469"/>
      <c r="E176" s="469">
        <f>XledgerData[[#This Row],[Column1]]+XledgerData[[#This Row],[Year to date]]</f>
        <v>4200</v>
      </c>
      <c r="F176" s="359"/>
      <c r="J176" s="391"/>
      <c r="K176" s="482"/>
    </row>
    <row r="177" spans="1:11" ht="14.5" x14ac:dyDescent="0.35">
      <c r="A177" s="449" t="str">
        <f t="shared" si="2"/>
        <v xml:space="preserve">P330231 </v>
      </c>
      <c r="B177" s="460" t="s">
        <v>734</v>
      </c>
      <c r="C177" s="450">
        <v>19290</v>
      </c>
      <c r="D177" s="450"/>
      <c r="E177" s="450">
        <f>XledgerData[[#This Row],[Column1]]+XledgerData[[#This Row],[Year to date]]</f>
        <v>19290</v>
      </c>
      <c r="F177" s="359"/>
      <c r="J177" s="391"/>
      <c r="K177" s="482"/>
    </row>
    <row r="178" spans="1:11" ht="14.5" x14ac:dyDescent="0.35">
      <c r="A178" s="456" t="str">
        <f t="shared" si="2"/>
        <v xml:space="preserve">P330032 </v>
      </c>
      <c r="B178" s="457" t="s">
        <v>638</v>
      </c>
      <c r="C178" s="458">
        <v>10412</v>
      </c>
      <c r="D178" s="458"/>
      <c r="E178" s="458">
        <f>XledgerData[[#This Row],[Column1]]+XledgerData[[#This Row],[Year to date]]</f>
        <v>10412</v>
      </c>
      <c r="F178" s="372"/>
      <c r="J178" s="391"/>
      <c r="K178" s="482"/>
    </row>
    <row r="179" spans="1:11" ht="14.5" x14ac:dyDescent="0.35">
      <c r="A179" s="381" t="str">
        <f t="shared" si="2"/>
        <v xml:space="preserve">P330065 </v>
      </c>
      <c r="B179" s="433" t="s">
        <v>1409</v>
      </c>
      <c r="C179" s="413">
        <v>10530</v>
      </c>
      <c r="D179" s="413"/>
      <c r="E179" s="413">
        <f>XledgerData[[#This Row],[Column1]]+XledgerData[[#This Row],[Year to date]]</f>
        <v>10530</v>
      </c>
      <c r="F179" s="359"/>
      <c r="J179" s="391"/>
      <c r="K179" s="482"/>
    </row>
    <row r="180" spans="1:11" ht="14.5" x14ac:dyDescent="0.35">
      <c r="A180" s="449" t="str">
        <f t="shared" si="2"/>
        <v xml:space="preserve">P330233 </v>
      </c>
      <c r="B180" s="460" t="s">
        <v>736</v>
      </c>
      <c r="C180" s="450">
        <v>9932</v>
      </c>
      <c r="D180" s="450"/>
      <c r="E180" s="450">
        <f>XledgerData[[#This Row],[Column1]]+XledgerData[[#This Row],[Year to date]]</f>
        <v>9932</v>
      </c>
      <c r="F180" s="359"/>
      <c r="J180" s="391"/>
      <c r="K180" s="482"/>
    </row>
    <row r="181" spans="1:11" ht="14.5" x14ac:dyDescent="0.35">
      <c r="A181" s="490" t="str">
        <f t="shared" ref="A181:A244" si="3">LEFT(B181,FIND(" ",B181,1))</f>
        <v xml:space="preserve">P330120 </v>
      </c>
      <c r="B181" s="488" t="s">
        <v>1412</v>
      </c>
      <c r="C181" s="489">
        <v>9828</v>
      </c>
      <c r="D181" s="489"/>
      <c r="E181" s="489">
        <f>XledgerData[[#This Row],[Column1]]+XledgerData[[#This Row],[Year to date]]</f>
        <v>9828</v>
      </c>
      <c r="F181" s="359"/>
      <c r="J181" s="391"/>
      <c r="K181" s="482"/>
    </row>
    <row r="182" spans="1:11" ht="14.5" x14ac:dyDescent="0.35">
      <c r="A182" s="389" t="str">
        <f t="shared" si="3"/>
        <v xml:space="preserve">P330463 </v>
      </c>
      <c r="B182" s="447" t="s">
        <v>832</v>
      </c>
      <c r="C182" s="466">
        <v>11972.6</v>
      </c>
      <c r="D182" s="466"/>
      <c r="E182" s="466">
        <f>XledgerData[[#This Row],[Column1]]+XledgerData[[#This Row],[Year to date]]</f>
        <v>11972.6</v>
      </c>
      <c r="F182" s="359"/>
      <c r="J182" s="391"/>
      <c r="K182" s="482"/>
    </row>
    <row r="183" spans="1:11" s="46" customFormat="1" ht="14.5" x14ac:dyDescent="0.35">
      <c r="A183" s="394" t="str">
        <f t="shared" si="3"/>
        <v xml:space="preserve">P330330 </v>
      </c>
      <c r="B183" s="448" t="s">
        <v>775</v>
      </c>
      <c r="C183" s="499">
        <v>14000</v>
      </c>
      <c r="D183" s="499"/>
      <c r="E183" s="499">
        <f>XledgerData[[#This Row],[Column1]]+XledgerData[[#This Row],[Year to date]]</f>
        <v>14000</v>
      </c>
      <c r="F183" s="359"/>
      <c r="J183" s="391"/>
      <c r="K183" s="482"/>
    </row>
    <row r="184" spans="1:11" ht="14.5" x14ac:dyDescent="0.35">
      <c r="A184" s="494" t="str">
        <f t="shared" si="3"/>
        <v xml:space="preserve">P330104 </v>
      </c>
      <c r="B184" s="483" t="s">
        <v>1371</v>
      </c>
      <c r="C184" s="453">
        <v>17260</v>
      </c>
      <c r="D184" s="453"/>
      <c r="E184" s="453">
        <f>XledgerData[[#This Row],[Column1]]+XledgerData[[#This Row],[Year to date]]</f>
        <v>17260</v>
      </c>
      <c r="F184" s="359"/>
      <c r="J184" s="46"/>
      <c r="K184" s="390"/>
    </row>
    <row r="185" spans="1:11" ht="14.5" x14ac:dyDescent="0.35">
      <c r="A185" s="470" t="str">
        <f t="shared" si="3"/>
        <v xml:space="preserve">P330439 </v>
      </c>
      <c r="B185" s="471" t="s">
        <v>816</v>
      </c>
      <c r="C185" s="472">
        <v>9588</v>
      </c>
      <c r="D185" s="472"/>
      <c r="E185" s="472">
        <f>XledgerData[[#This Row],[Column1]]+XledgerData[[#This Row],[Year to date]]</f>
        <v>9588</v>
      </c>
      <c r="F185" s="372"/>
      <c r="J185" s="46"/>
      <c r="K185" s="390"/>
    </row>
    <row r="186" spans="1:11" ht="14.5" x14ac:dyDescent="0.35">
      <c r="A186" s="394" t="str">
        <f t="shared" si="3"/>
        <v xml:space="preserve">P330310 </v>
      </c>
      <c r="B186" s="448" t="s">
        <v>769</v>
      </c>
      <c r="C186" s="499">
        <v>9038</v>
      </c>
      <c r="D186" s="499"/>
      <c r="E186" s="499">
        <f>XledgerData[[#This Row],[Column1]]+XledgerData[[#This Row],[Year to date]]</f>
        <v>9038</v>
      </c>
      <c r="F186" s="359"/>
      <c r="J186" s="46"/>
      <c r="K186" s="482"/>
    </row>
    <row r="187" spans="1:11" s="46" customFormat="1" ht="14.5" x14ac:dyDescent="0.35">
      <c r="A187" s="467" t="str">
        <f t="shared" si="3"/>
        <v xml:space="preserve">P330026 </v>
      </c>
      <c r="B187" s="468" t="s">
        <v>635</v>
      </c>
      <c r="C187" s="469">
        <v>9116</v>
      </c>
      <c r="D187" s="469"/>
      <c r="E187" s="469">
        <f>XledgerData[[#This Row],[Column1]]+XledgerData[[#This Row],[Year to date]]</f>
        <v>9116</v>
      </c>
      <c r="F187" s="359"/>
      <c r="J187" s="391"/>
      <c r="K187" s="482"/>
    </row>
    <row r="188" spans="1:11" ht="14.5" x14ac:dyDescent="0.35">
      <c r="A188" s="500" t="str">
        <f t="shared" si="3"/>
        <v xml:space="preserve">P330281 </v>
      </c>
      <c r="B188" s="492" t="s">
        <v>755</v>
      </c>
      <c r="C188" s="493">
        <v>12184</v>
      </c>
      <c r="D188" s="493"/>
      <c r="E188" s="493">
        <f>XledgerData[[#This Row],[Column1]]+XledgerData[[#This Row],[Year to date]]</f>
        <v>12184</v>
      </c>
      <c r="F188" s="359"/>
      <c r="J188" s="391"/>
      <c r="K188" s="482"/>
    </row>
    <row r="189" spans="1:11" ht="14.5" x14ac:dyDescent="0.35">
      <c r="A189" s="478" t="str">
        <f t="shared" si="3"/>
        <v xml:space="preserve">P330399 </v>
      </c>
      <c r="B189" s="479" t="s">
        <v>797</v>
      </c>
      <c r="C189" s="480">
        <v>9000</v>
      </c>
      <c r="D189" s="480">
        <v>1050</v>
      </c>
      <c r="E189" s="480">
        <f>XledgerData[[#This Row],[Column1]]+XledgerData[[#This Row],[Year to date]]</f>
        <v>10050</v>
      </c>
      <c r="F189" s="359"/>
      <c r="J189" s="391"/>
      <c r="K189" s="482"/>
    </row>
    <row r="190" spans="1:11" ht="14.5" x14ac:dyDescent="0.35">
      <c r="A190" s="481" t="str">
        <f t="shared" si="3"/>
        <v xml:space="preserve">P330383 </v>
      </c>
      <c r="B190" s="464" t="s">
        <v>788</v>
      </c>
      <c r="C190" s="465">
        <v>2223</v>
      </c>
      <c r="D190" s="465">
        <v>741</v>
      </c>
      <c r="E190" s="465">
        <f>XledgerData[[#This Row],[Column1]]+XledgerData[[#This Row],[Year to date]]</f>
        <v>2964</v>
      </c>
      <c r="F190" s="359"/>
      <c r="J190" s="46"/>
      <c r="K190" s="390"/>
    </row>
    <row r="191" spans="1:11" ht="14.5" x14ac:dyDescent="0.35">
      <c r="A191" s="394" t="str">
        <f t="shared" si="3"/>
        <v xml:space="preserve">P330335 </v>
      </c>
      <c r="B191" s="448" t="s">
        <v>777</v>
      </c>
      <c r="C191" s="499">
        <v>12034</v>
      </c>
      <c r="D191" s="499"/>
      <c r="E191" s="499">
        <f>XledgerData[[#This Row],[Column1]]+XledgerData[[#This Row],[Year to date]]</f>
        <v>12034</v>
      </c>
      <c r="F191" s="359"/>
      <c r="J191" s="391"/>
      <c r="K191" s="482"/>
    </row>
    <row r="192" spans="1:11" ht="14.5" x14ac:dyDescent="0.35">
      <c r="A192" s="481" t="str">
        <f t="shared" si="3"/>
        <v xml:space="preserve">P330356 </v>
      </c>
      <c r="B192" s="464" t="s">
        <v>1576</v>
      </c>
      <c r="C192" s="465">
        <v>3223</v>
      </c>
      <c r="D192" s="465">
        <v>0</v>
      </c>
      <c r="E192" s="465">
        <f>XledgerData[[#This Row],[Column1]]+XledgerData[[#This Row],[Year to date]]</f>
        <v>3223</v>
      </c>
      <c r="F192" s="372"/>
      <c r="J192" s="391"/>
      <c r="K192" s="482"/>
    </row>
    <row r="193" spans="1:11" s="46" customFormat="1" ht="14.5" x14ac:dyDescent="0.35">
      <c r="A193" s="470" t="str">
        <f t="shared" si="3"/>
        <v xml:space="preserve">P330453 </v>
      </c>
      <c r="B193" s="471" t="s">
        <v>823</v>
      </c>
      <c r="C193" s="472">
        <v>8820</v>
      </c>
      <c r="D193" s="472"/>
      <c r="E193" s="472">
        <f>XledgerData[[#This Row],[Column1]]+XledgerData[[#This Row],[Year to date]]</f>
        <v>8820</v>
      </c>
      <c r="F193" s="359"/>
      <c r="J193" s="391"/>
      <c r="K193" s="482"/>
    </row>
    <row r="194" spans="1:11" ht="14.5" x14ac:dyDescent="0.35">
      <c r="A194" s="498" t="str">
        <f t="shared" si="3"/>
        <v xml:space="preserve">P330066 </v>
      </c>
      <c r="B194" s="461" t="s">
        <v>656</v>
      </c>
      <c r="C194" s="462">
        <v>4046</v>
      </c>
      <c r="D194" s="462"/>
      <c r="E194" s="462">
        <f>XledgerData[[#This Row],[Column1]]+XledgerData[[#This Row],[Year to date]]</f>
        <v>4046</v>
      </c>
      <c r="F194" s="359"/>
      <c r="J194" s="391"/>
      <c r="K194" s="482"/>
    </row>
    <row r="195" spans="1:11" ht="14.5" x14ac:dyDescent="0.35">
      <c r="A195" s="386" t="str">
        <f t="shared" si="3"/>
        <v xml:space="preserve">P330329 </v>
      </c>
      <c r="B195" s="436" t="s">
        <v>1493</v>
      </c>
      <c r="C195" s="402">
        <v>2200</v>
      </c>
      <c r="D195" s="402"/>
      <c r="E195" s="402">
        <f>XledgerData[[#This Row],[Column1]]+XledgerData[[#This Row],[Year to date]]</f>
        <v>2200</v>
      </c>
      <c r="F195" s="359"/>
      <c r="J195" s="391"/>
      <c r="K195" s="482"/>
    </row>
    <row r="196" spans="1:11" ht="14.5" x14ac:dyDescent="0.35">
      <c r="A196" s="524" t="str">
        <f t="shared" si="3"/>
        <v xml:space="preserve">P330414 </v>
      </c>
      <c r="B196" s="474" t="s">
        <v>1570</v>
      </c>
      <c r="C196" s="475">
        <v>4872</v>
      </c>
      <c r="D196" s="475"/>
      <c r="E196" s="475">
        <f>XledgerData[[#This Row],[Column1]]+XledgerData[[#This Row],[Year to date]]</f>
        <v>4872</v>
      </c>
      <c r="F196" s="359"/>
      <c r="J196" s="46"/>
      <c r="K196" s="390"/>
    </row>
    <row r="197" spans="1:11" ht="14.5" x14ac:dyDescent="0.35">
      <c r="A197" s="495" t="str">
        <f t="shared" si="3"/>
        <v xml:space="preserve">P330200 </v>
      </c>
      <c r="B197" s="496" t="s">
        <v>1424</v>
      </c>
      <c r="C197" s="497">
        <v>6517</v>
      </c>
      <c r="D197" s="497"/>
      <c r="E197" s="497">
        <f>XledgerData[[#This Row],[Column1]]+XledgerData[[#This Row],[Year to date]]</f>
        <v>6517</v>
      </c>
      <c r="F197" s="359"/>
      <c r="J197" s="391"/>
      <c r="K197" s="482"/>
    </row>
    <row r="198" spans="1:11" ht="14.5" x14ac:dyDescent="0.35">
      <c r="A198" s="467" t="str">
        <f t="shared" si="3"/>
        <v xml:space="preserve">P330025 </v>
      </c>
      <c r="B198" s="468" t="s">
        <v>1403</v>
      </c>
      <c r="C198" s="469">
        <v>6650</v>
      </c>
      <c r="D198" s="469">
        <v>500</v>
      </c>
      <c r="E198" s="469">
        <f>XledgerData[[#This Row],[Column1]]+XledgerData[[#This Row],[Year to date]]</f>
        <v>7150</v>
      </c>
      <c r="F198" s="359"/>
      <c r="J198" s="391"/>
      <c r="K198" s="482"/>
    </row>
    <row r="199" spans="1:11" ht="14.5" x14ac:dyDescent="0.35">
      <c r="A199" s="491" t="str">
        <f t="shared" si="3"/>
        <v xml:space="preserve">P330273 </v>
      </c>
      <c r="B199" s="492" t="s">
        <v>751</v>
      </c>
      <c r="C199" s="493">
        <v>10100</v>
      </c>
      <c r="D199" s="493"/>
      <c r="E199" s="493">
        <f>XledgerData[[#This Row],[Column1]]+XledgerData[[#This Row],[Year to date]]</f>
        <v>10100</v>
      </c>
      <c r="F199" s="359"/>
      <c r="J199" s="391"/>
      <c r="K199" s="482"/>
    </row>
    <row r="200" spans="1:11" ht="14.5" x14ac:dyDescent="0.35">
      <c r="A200" s="456" t="str">
        <f t="shared" si="3"/>
        <v xml:space="preserve">P330040 </v>
      </c>
      <c r="B200" s="457" t="s">
        <v>643</v>
      </c>
      <c r="C200" s="458">
        <v>7447</v>
      </c>
      <c r="D200" s="458"/>
      <c r="E200" s="458">
        <f>XledgerData[[#This Row],[Column1]]+XledgerData[[#This Row],[Year to date]]</f>
        <v>7447</v>
      </c>
      <c r="F200" s="359"/>
      <c r="J200" s="391"/>
      <c r="K200" s="482"/>
    </row>
    <row r="201" spans="1:11" s="46" customFormat="1" ht="14.5" x14ac:dyDescent="0.35">
      <c r="A201" s="564" t="str">
        <f t="shared" si="3"/>
        <v xml:space="preserve">P330181 </v>
      </c>
      <c r="B201" s="454" t="s">
        <v>717</v>
      </c>
      <c r="C201" s="455">
        <v>7304</v>
      </c>
      <c r="D201" s="455"/>
      <c r="E201" s="455">
        <f>XledgerData[[#This Row],[Column1]]+XledgerData[[#This Row],[Year to date]]</f>
        <v>7304</v>
      </c>
      <c r="F201" s="359"/>
      <c r="J201" s="391"/>
      <c r="K201" s="482"/>
    </row>
    <row r="202" spans="1:11" ht="14.5" x14ac:dyDescent="0.35">
      <c r="A202" s="560" t="str">
        <f t="shared" si="3"/>
        <v xml:space="preserve">P330009 </v>
      </c>
      <c r="B202" s="468" t="s">
        <v>627</v>
      </c>
      <c r="C202" s="469">
        <v>12089</v>
      </c>
      <c r="D202" s="469"/>
      <c r="E202" s="469">
        <f>XledgerData[[#This Row],[Column1]]+XledgerData[[#This Row],[Year to date]]</f>
        <v>12089</v>
      </c>
      <c r="F202" s="359"/>
      <c r="J202" s="391"/>
      <c r="K202" s="482"/>
    </row>
    <row r="203" spans="1:11" ht="14.5" x14ac:dyDescent="0.35">
      <c r="A203" s="473" t="str">
        <f t="shared" si="3"/>
        <v xml:space="preserve">P330427 </v>
      </c>
      <c r="B203" s="474" t="s">
        <v>810</v>
      </c>
      <c r="C203" s="475">
        <v>7275</v>
      </c>
      <c r="D203" s="475"/>
      <c r="E203" s="475">
        <f>XledgerData[[#This Row],[Column1]]+XledgerData[[#This Row],[Year to date]]</f>
        <v>7275</v>
      </c>
      <c r="F203" s="359"/>
      <c r="J203" s="391"/>
      <c r="K203" s="482"/>
    </row>
    <row r="204" spans="1:11" s="46" customFormat="1" ht="14.5" x14ac:dyDescent="0.35">
      <c r="A204" s="456" t="str">
        <f t="shared" si="3"/>
        <v xml:space="preserve">P330039 </v>
      </c>
      <c r="B204" s="457" t="s">
        <v>642</v>
      </c>
      <c r="C204" s="458">
        <v>19842</v>
      </c>
      <c r="D204" s="458"/>
      <c r="E204" s="458">
        <f>XledgerData[[#This Row],[Column1]]+XledgerData[[#This Row],[Year to date]]</f>
        <v>19842</v>
      </c>
      <c r="F204" s="359"/>
      <c r="J204" s="391"/>
      <c r="K204" s="482"/>
    </row>
    <row r="205" spans="1:11" ht="14.5" x14ac:dyDescent="0.35">
      <c r="A205" s="559" t="str">
        <f t="shared" si="3"/>
        <v xml:space="preserve">P330164 </v>
      </c>
      <c r="B205" s="459" t="s">
        <v>708</v>
      </c>
      <c r="C205" s="452">
        <v>5500</v>
      </c>
      <c r="D205" s="452"/>
      <c r="E205" s="452">
        <f>XledgerData[[#This Row],[Column1]]+XledgerData[[#This Row],[Year to date]]</f>
        <v>5500</v>
      </c>
      <c r="F205" s="359"/>
      <c r="J205" s="391"/>
      <c r="K205" s="482"/>
    </row>
    <row r="206" spans="1:11" ht="14.5" x14ac:dyDescent="0.35">
      <c r="A206" s="553" t="str">
        <f t="shared" si="3"/>
        <v xml:space="preserve">P330458 </v>
      </c>
      <c r="B206" s="471" t="s">
        <v>827</v>
      </c>
      <c r="C206" s="472">
        <v>6969.7</v>
      </c>
      <c r="D206" s="472"/>
      <c r="E206" s="472">
        <f>XledgerData[[#This Row],[Column1]]+XledgerData[[#This Row],[Year to date]]</f>
        <v>6969.7</v>
      </c>
      <c r="F206" s="359"/>
      <c r="J206" s="391"/>
      <c r="K206" s="482"/>
    </row>
    <row r="207" spans="1:11" ht="14.5" x14ac:dyDescent="0.35">
      <c r="A207" s="463" t="str">
        <f t="shared" si="3"/>
        <v xml:space="preserve">P330352 </v>
      </c>
      <c r="B207" s="464" t="s">
        <v>782</v>
      </c>
      <c r="C207" s="465">
        <v>6970</v>
      </c>
      <c r="D207" s="465"/>
      <c r="E207" s="465">
        <f>XledgerData[[#This Row],[Column1]]+XledgerData[[#This Row],[Year to date]]</f>
        <v>6970</v>
      </c>
      <c r="F207" s="359"/>
      <c r="J207" s="46"/>
      <c r="K207" s="390"/>
    </row>
    <row r="208" spans="1:11" ht="14.5" x14ac:dyDescent="0.35">
      <c r="A208" s="525" t="str">
        <f t="shared" si="3"/>
        <v xml:space="preserve">P330413 </v>
      </c>
      <c r="B208" s="474" t="s">
        <v>805</v>
      </c>
      <c r="C208" s="475">
        <v>7057</v>
      </c>
      <c r="D208" s="475"/>
      <c r="E208" s="475">
        <f>XledgerData[[#This Row],[Column1]]+XledgerData[[#This Row],[Year to date]]</f>
        <v>7057</v>
      </c>
      <c r="F208" s="359"/>
      <c r="J208" s="391"/>
      <c r="K208" s="482"/>
    </row>
    <row r="209" spans="1:14" ht="14.5" x14ac:dyDescent="0.35">
      <c r="A209" s="578" t="str">
        <f t="shared" si="3"/>
        <v xml:space="preserve">P330140 </v>
      </c>
      <c r="B209" s="488" t="s">
        <v>698</v>
      </c>
      <c r="C209" s="489">
        <v>6316</v>
      </c>
      <c r="D209" s="489">
        <v>570</v>
      </c>
      <c r="E209" s="489">
        <f>XledgerData[[#This Row],[Column1]]+XledgerData[[#This Row],[Year to date]]</f>
        <v>6886</v>
      </c>
      <c r="F209" s="359"/>
      <c r="J209" s="391"/>
      <c r="K209" s="482"/>
    </row>
    <row r="210" spans="1:14" ht="14.5" x14ac:dyDescent="0.35">
      <c r="A210" s="490" t="str">
        <f t="shared" si="3"/>
        <v xml:space="preserve">P330241 </v>
      </c>
      <c r="B210" s="488" t="s">
        <v>739</v>
      </c>
      <c r="C210" s="489">
        <v>6850</v>
      </c>
      <c r="D210" s="489"/>
      <c r="E210" s="489">
        <f>XledgerData[[#This Row],[Column1]]+XledgerData[[#This Row],[Year to date]]</f>
        <v>6850</v>
      </c>
      <c r="F210" s="359"/>
      <c r="J210" s="391"/>
      <c r="K210" s="482"/>
    </row>
    <row r="211" spans="1:14" ht="14.5" x14ac:dyDescent="0.35">
      <c r="A211" s="543" t="str">
        <f t="shared" si="3"/>
        <v xml:space="preserve">P330213 </v>
      </c>
      <c r="B211" s="496" t="s">
        <v>1430</v>
      </c>
      <c r="C211" s="497">
        <v>4057</v>
      </c>
      <c r="D211" s="497"/>
      <c r="E211" s="497">
        <f>XledgerData[[#This Row],[Column1]]+XledgerData[[#This Row],[Year to date]]</f>
        <v>4057</v>
      </c>
      <c r="F211" s="359"/>
      <c r="J211" s="391"/>
      <c r="K211" s="482"/>
    </row>
    <row r="212" spans="1:14" ht="14.5" x14ac:dyDescent="0.35">
      <c r="A212" s="571" t="str">
        <f t="shared" si="3"/>
        <v xml:space="preserve">B110 </v>
      </c>
      <c r="B212" s="436" t="s">
        <v>1518</v>
      </c>
      <c r="C212" s="376">
        <v>2450</v>
      </c>
      <c r="D212" s="376">
        <v>1000</v>
      </c>
      <c r="E212" s="376">
        <f>XledgerData[[#This Row],[Column1]]+XledgerData[[#This Row],[Year to date]]</f>
        <v>3450</v>
      </c>
      <c r="F212" s="359"/>
      <c r="J212" s="391"/>
      <c r="K212" s="482"/>
    </row>
    <row r="213" spans="1:14" ht="14.5" x14ac:dyDescent="0.35">
      <c r="A213" s="572" t="str">
        <f t="shared" si="3"/>
        <v xml:space="preserve">P330147 </v>
      </c>
      <c r="B213" s="459" t="s">
        <v>701</v>
      </c>
      <c r="C213" s="452">
        <v>6467</v>
      </c>
      <c r="D213" s="452"/>
      <c r="E213" s="452">
        <f>XledgerData[[#This Row],[Column1]]+XledgerData[[#This Row],[Year to date]]</f>
        <v>6467</v>
      </c>
      <c r="F213" s="359"/>
      <c r="J213" s="391"/>
      <c r="K213" s="482"/>
    </row>
    <row r="214" spans="1:14" ht="14.5" x14ac:dyDescent="0.35">
      <c r="A214" s="456" t="str">
        <f t="shared" si="3"/>
        <v xml:space="preserve">P330038 </v>
      </c>
      <c r="B214" s="457" t="s">
        <v>641</v>
      </c>
      <c r="C214" s="458">
        <v>2701</v>
      </c>
      <c r="D214" s="458"/>
      <c r="E214" s="458">
        <f>XledgerData[[#This Row],[Column1]]+XledgerData[[#This Row],[Year to date]]</f>
        <v>2701</v>
      </c>
      <c r="F214" s="359"/>
      <c r="J214" s="391"/>
      <c r="K214" s="482"/>
    </row>
    <row r="215" spans="1:14" ht="14.5" x14ac:dyDescent="0.35">
      <c r="A215" s="364" t="str">
        <f t="shared" si="3"/>
        <v xml:space="preserve">C330493 </v>
      </c>
      <c r="B215" s="437" t="s">
        <v>847</v>
      </c>
      <c r="C215" s="411">
        <v>6000</v>
      </c>
      <c r="D215" s="476"/>
      <c r="E215" s="477">
        <f>XledgerData[[#This Row],[Column1]]+XledgerData[[#This Row],[Year to date]]</f>
        <v>6000</v>
      </c>
      <c r="F215" s="359"/>
      <c r="J215" s="391"/>
      <c r="K215" s="482"/>
    </row>
    <row r="216" spans="1:14" ht="14.5" x14ac:dyDescent="0.35">
      <c r="A216" s="495" t="str">
        <f t="shared" si="3"/>
        <v xml:space="preserve">P330197 </v>
      </c>
      <c r="B216" s="496" t="s">
        <v>723</v>
      </c>
      <c r="C216" s="497">
        <v>6000</v>
      </c>
      <c r="D216" s="497">
        <v>2300</v>
      </c>
      <c r="E216" s="497">
        <f>XledgerData[[#This Row],[Column1]]+XledgerData[[#This Row],[Year to date]]</f>
        <v>8300</v>
      </c>
      <c r="F216" s="359"/>
      <c r="J216" s="391"/>
      <c r="K216" s="482"/>
    </row>
    <row r="217" spans="1:14" ht="14.5" x14ac:dyDescent="0.35">
      <c r="A217" s="470" t="str">
        <f t="shared" si="3"/>
        <v xml:space="preserve">P330437 </v>
      </c>
      <c r="B217" s="471" t="s">
        <v>1509</v>
      </c>
      <c r="C217" s="472">
        <v>4000</v>
      </c>
      <c r="D217" s="472"/>
      <c r="E217" s="472">
        <f>XledgerData[[#This Row],[Column1]]+XledgerData[[#This Row],[Year to date]]</f>
        <v>4000</v>
      </c>
      <c r="F217" s="359"/>
      <c r="J217" s="391"/>
      <c r="K217" s="482"/>
    </row>
    <row r="218" spans="1:14" ht="14.5" x14ac:dyDescent="0.35">
      <c r="A218" s="478" t="str">
        <f t="shared" si="3"/>
        <v xml:space="preserve">P330138 </v>
      </c>
      <c r="B218" s="479" t="s">
        <v>696</v>
      </c>
      <c r="C218" s="480">
        <v>8694</v>
      </c>
      <c r="D218" s="480"/>
      <c r="E218" s="480">
        <f>XledgerData[[#This Row],[Column1]]+XledgerData[[#This Row],[Year to date]]</f>
        <v>8694</v>
      </c>
      <c r="F218" s="359"/>
      <c r="J218" s="391"/>
      <c r="K218" s="390"/>
    </row>
    <row r="219" spans="1:14" ht="14.5" x14ac:dyDescent="0.35">
      <c r="A219" s="573" t="str">
        <f t="shared" si="3"/>
        <v xml:space="preserve">P330421 </v>
      </c>
      <c r="B219" s="474" t="s">
        <v>1502</v>
      </c>
      <c r="C219" s="475">
        <v>10200</v>
      </c>
      <c r="D219" s="475"/>
      <c r="E219" s="475">
        <f>XledgerData[[#This Row],[Column1]]+XledgerData[[#This Row],[Year to date]]</f>
        <v>10200</v>
      </c>
      <c r="F219" s="359"/>
      <c r="J219" s="46"/>
      <c r="K219" s="390"/>
    </row>
    <row r="220" spans="1:14" ht="14.5" x14ac:dyDescent="0.35">
      <c r="A220" s="575" t="str">
        <f t="shared" si="3"/>
        <v xml:space="preserve">P330264 </v>
      </c>
      <c r="B220" s="576" t="s">
        <v>1440</v>
      </c>
      <c r="C220" s="577">
        <v>5930</v>
      </c>
      <c r="D220" s="577"/>
      <c r="E220" s="577">
        <f>XledgerData[[#This Row],[Column1]]+XledgerData[[#This Row],[Year to date]]</f>
        <v>5930</v>
      </c>
      <c r="F220" s="359"/>
      <c r="J220" s="391"/>
      <c r="K220" s="482"/>
    </row>
    <row r="221" spans="1:14" ht="14.5" x14ac:dyDescent="0.35">
      <c r="A221" s="473" t="str">
        <f t="shared" si="3"/>
        <v xml:space="preserve">P330424 </v>
      </c>
      <c r="B221" s="574" t="s">
        <v>808</v>
      </c>
      <c r="C221" s="475">
        <v>5676</v>
      </c>
      <c r="D221" s="475"/>
      <c r="E221" s="475">
        <f>XledgerData[[#This Row],[Column1]]+XledgerData[[#This Row],[Year to date]]</f>
        <v>5676</v>
      </c>
      <c r="F221" s="372"/>
      <c r="J221" s="391"/>
      <c r="K221" s="482"/>
    </row>
    <row r="222" spans="1:14" ht="14.5" x14ac:dyDescent="0.35">
      <c r="A222" s="473" t="str">
        <f t="shared" si="3"/>
        <v xml:space="preserve">P330429 </v>
      </c>
      <c r="B222" s="474" t="s">
        <v>1457</v>
      </c>
      <c r="C222" s="475">
        <v>4732</v>
      </c>
      <c r="D222" s="475"/>
      <c r="E222" s="475">
        <f>XledgerData[[#This Row],[Column1]]+XledgerData[[#This Row],[Year to date]]</f>
        <v>4732</v>
      </c>
      <c r="F222" s="359"/>
      <c r="J222" s="46"/>
      <c r="K222" s="390"/>
    </row>
    <row r="223" spans="1:14" ht="14.5" x14ac:dyDescent="0.35">
      <c r="A223" s="463" t="str">
        <f t="shared" si="3"/>
        <v xml:space="preserve">P330350 </v>
      </c>
      <c r="B223" s="464" t="s">
        <v>781</v>
      </c>
      <c r="C223" s="465">
        <v>8815</v>
      </c>
      <c r="D223" s="465"/>
      <c r="E223" s="465">
        <f>XledgerData[[#This Row],[Column1]]+XledgerData[[#This Row],[Year to date]]</f>
        <v>8815</v>
      </c>
      <c r="F223" s="372"/>
      <c r="J223" s="46"/>
      <c r="K223" s="390"/>
      <c r="N223" s="369"/>
    </row>
    <row r="224" spans="1:14" ht="14.5" x14ac:dyDescent="0.35">
      <c r="A224" s="389" t="str">
        <f t="shared" si="3"/>
        <v xml:space="preserve">P330484 </v>
      </c>
      <c r="B224" s="447" t="s">
        <v>842</v>
      </c>
      <c r="C224" s="466">
        <v>5155</v>
      </c>
      <c r="D224" s="466"/>
      <c r="E224" s="466">
        <f>XledgerData[[#This Row],[Column1]]+XledgerData[[#This Row],[Year to date]]</f>
        <v>5155</v>
      </c>
      <c r="F224" s="372"/>
      <c r="J224" s="391"/>
      <c r="K224" s="482"/>
      <c r="N224" s="369"/>
    </row>
    <row r="225" spans="1:14" ht="14.5" x14ac:dyDescent="0.35">
      <c r="A225" s="451" t="str">
        <f t="shared" si="3"/>
        <v xml:space="preserve">P330160 </v>
      </c>
      <c r="B225" s="459" t="s">
        <v>707</v>
      </c>
      <c r="C225" s="452">
        <v>5250</v>
      </c>
      <c r="D225" s="452"/>
      <c r="E225" s="452">
        <f>XledgerData[[#This Row],[Column1]]+XledgerData[[#This Row],[Year to date]]</f>
        <v>5250</v>
      </c>
      <c r="F225" s="359"/>
      <c r="J225" s="391"/>
      <c r="K225" s="482"/>
      <c r="N225" s="369"/>
    </row>
    <row r="226" spans="1:14" ht="14.5" x14ac:dyDescent="0.35">
      <c r="A226" s="467" t="str">
        <f t="shared" si="3"/>
        <v xml:space="preserve">P330017 </v>
      </c>
      <c r="B226" s="468" t="s">
        <v>1368</v>
      </c>
      <c r="C226" s="469">
        <v>2520</v>
      </c>
      <c r="D226" s="469"/>
      <c r="E226" s="469">
        <f>XledgerData[[#This Row],[Column1]]+XledgerData[[#This Row],[Year to date]]</f>
        <v>2520</v>
      </c>
      <c r="F226" s="359"/>
      <c r="J226" s="391"/>
      <c r="K226" s="482"/>
      <c r="N226" s="369"/>
    </row>
    <row r="227" spans="1:14" ht="14.5" x14ac:dyDescent="0.35">
      <c r="A227" s="494" t="str">
        <f t="shared" si="3"/>
        <v xml:space="preserve">P330109 </v>
      </c>
      <c r="B227" s="483" t="s">
        <v>678</v>
      </c>
      <c r="C227" s="453">
        <v>4857</v>
      </c>
      <c r="D227" s="453"/>
      <c r="E227" s="453">
        <f>XledgerData[[#This Row],[Column1]]+XledgerData[[#This Row],[Year to date]]</f>
        <v>4857</v>
      </c>
      <c r="F227" s="372"/>
      <c r="J227" s="391"/>
      <c r="K227" s="482"/>
      <c r="M227" s="46"/>
      <c r="N227" s="369"/>
    </row>
    <row r="228" spans="1:14" ht="14.5" x14ac:dyDescent="0.35">
      <c r="A228" s="340" t="str">
        <f t="shared" si="3"/>
        <v xml:space="preserve">P330191 </v>
      </c>
      <c r="B228" s="427" t="s">
        <v>721</v>
      </c>
      <c r="C228" s="383">
        <v>4800</v>
      </c>
      <c r="D228" s="383"/>
      <c r="E228" s="383">
        <f>XledgerData[[#This Row],[Column1]]+XledgerData[[#This Row],[Year to date]]</f>
        <v>4800</v>
      </c>
      <c r="F228" s="359"/>
      <c r="J228" s="391"/>
      <c r="K228" s="482"/>
      <c r="N228" s="369"/>
    </row>
    <row r="229" spans="1:14" ht="14.5" x14ac:dyDescent="0.35">
      <c r="A229" s="484" t="str">
        <f t="shared" si="3"/>
        <v xml:space="preserve">P330184 </v>
      </c>
      <c r="B229" s="454" t="s">
        <v>1482</v>
      </c>
      <c r="C229" s="455">
        <v>2400</v>
      </c>
      <c r="D229" s="455"/>
      <c r="E229" s="455">
        <f>XledgerData[[#This Row],[Column1]]+XledgerData[[#This Row],[Year to date]]</f>
        <v>2400</v>
      </c>
      <c r="F229" s="359"/>
      <c r="J229" s="391"/>
      <c r="K229" s="482"/>
      <c r="M229" s="46"/>
      <c r="N229" s="369"/>
    </row>
    <row r="230" spans="1:14" ht="14.5" x14ac:dyDescent="0.35">
      <c r="A230" s="470" t="str">
        <f t="shared" si="3"/>
        <v xml:space="preserve">P330460 </v>
      </c>
      <c r="B230" s="471" t="s">
        <v>829</v>
      </c>
      <c r="C230" s="472">
        <v>4800</v>
      </c>
      <c r="D230" s="472">
        <v>258</v>
      </c>
      <c r="E230" s="472">
        <f>XledgerData[[#This Row],[Column1]]+XledgerData[[#This Row],[Year to date]]</f>
        <v>5058</v>
      </c>
      <c r="F230" s="359"/>
      <c r="J230" s="391"/>
      <c r="K230" s="482"/>
      <c r="M230" s="46"/>
      <c r="N230" s="369"/>
    </row>
    <row r="231" spans="1:14" ht="14.5" x14ac:dyDescent="0.35">
      <c r="A231" s="449" t="str">
        <f t="shared" si="3"/>
        <v xml:space="preserve">P330234 </v>
      </c>
      <c r="B231" s="460" t="s">
        <v>737</v>
      </c>
      <c r="C231" s="450">
        <v>4633</v>
      </c>
      <c r="D231" s="450"/>
      <c r="E231" s="450">
        <f>XledgerData[[#This Row],[Column1]]+XledgerData[[#This Row],[Year to date]]</f>
        <v>4633</v>
      </c>
      <c r="F231" s="359"/>
      <c r="J231" s="391"/>
      <c r="K231" s="482"/>
      <c r="M231" s="46"/>
      <c r="N231" s="369"/>
    </row>
    <row r="232" spans="1:14" ht="14.5" x14ac:dyDescent="0.35">
      <c r="A232" s="478" t="str">
        <f t="shared" si="3"/>
        <v xml:space="preserve">P330408 </v>
      </c>
      <c r="B232" s="479" t="s">
        <v>802</v>
      </c>
      <c r="C232" s="480">
        <v>6367</v>
      </c>
      <c r="D232" s="480"/>
      <c r="E232" s="480">
        <f>XledgerData[[#This Row],[Column1]]+XledgerData[[#This Row],[Year to date]]</f>
        <v>6367</v>
      </c>
      <c r="F232" s="359"/>
      <c r="J232" s="46"/>
      <c r="K232" s="390"/>
    </row>
    <row r="233" spans="1:14" ht="14.5" x14ac:dyDescent="0.35">
      <c r="A233" s="490" t="str">
        <f t="shared" si="3"/>
        <v xml:space="preserve">P330125 </v>
      </c>
      <c r="B233" s="488" t="s">
        <v>687</v>
      </c>
      <c r="C233" s="489">
        <v>4345</v>
      </c>
      <c r="D233" s="489"/>
      <c r="E233" s="489">
        <f>XledgerData[[#This Row],[Column1]]+XledgerData[[#This Row],[Year to date]]</f>
        <v>4345</v>
      </c>
      <c r="F233" s="359"/>
      <c r="J233" s="391"/>
      <c r="K233" s="482"/>
      <c r="M233" s="370"/>
      <c r="N233" s="356"/>
    </row>
    <row r="234" spans="1:14" ht="14.5" x14ac:dyDescent="0.35">
      <c r="A234" s="467" t="str">
        <f t="shared" si="3"/>
        <v xml:space="preserve">P330012 </v>
      </c>
      <c r="B234" s="468" t="s">
        <v>629</v>
      </c>
      <c r="C234" s="469">
        <v>3864</v>
      </c>
      <c r="D234" s="469"/>
      <c r="E234" s="469">
        <f>XledgerData[[#This Row],[Column1]]+XledgerData[[#This Row],[Year to date]]</f>
        <v>3864</v>
      </c>
      <c r="F234" s="359"/>
      <c r="J234" s="391"/>
      <c r="K234" s="482"/>
    </row>
    <row r="235" spans="1:14" s="46" customFormat="1" ht="14.5" x14ac:dyDescent="0.35">
      <c r="A235" s="451" t="str">
        <f t="shared" si="3"/>
        <v xml:space="preserve">P330151 </v>
      </c>
      <c r="B235" s="459" t="s">
        <v>1416</v>
      </c>
      <c r="C235" s="452">
        <v>1818</v>
      </c>
      <c r="D235" s="452"/>
      <c r="E235" s="452">
        <f>XledgerData[[#This Row],[Column1]]+XledgerData[[#This Row],[Year to date]]</f>
        <v>1818</v>
      </c>
      <c r="F235" s="359"/>
      <c r="J235" s="391"/>
      <c r="K235" s="482"/>
      <c r="M235" s="390"/>
    </row>
    <row r="236" spans="1:14" ht="14.5" x14ac:dyDescent="0.35">
      <c r="A236" s="365" t="str">
        <f t="shared" si="3"/>
        <v xml:space="preserve">P330150 </v>
      </c>
      <c r="B236" s="426" t="s">
        <v>702</v>
      </c>
      <c r="C236" s="401">
        <v>2758</v>
      </c>
      <c r="D236" s="401"/>
      <c r="E236" s="401">
        <f>XledgerData[[#This Row],[Column1]]+XledgerData[[#This Row],[Year to date]]</f>
        <v>2758</v>
      </c>
      <c r="F236" s="359"/>
      <c r="J236" s="391"/>
      <c r="K236" s="482"/>
    </row>
    <row r="237" spans="1:14" ht="14.5" x14ac:dyDescent="0.35">
      <c r="A237" s="507" t="str">
        <f t="shared" si="3"/>
        <v xml:space="preserve">P330433 </v>
      </c>
      <c r="B237" s="471" t="s">
        <v>813</v>
      </c>
      <c r="C237" s="472">
        <v>3343</v>
      </c>
      <c r="D237" s="472"/>
      <c r="E237" s="472">
        <f>XledgerData[[#This Row],[Column1]]+XledgerData[[#This Row],[Year to date]]</f>
        <v>3343</v>
      </c>
      <c r="F237" s="359"/>
      <c r="J237" s="391"/>
      <c r="K237" s="482"/>
    </row>
    <row r="238" spans="1:14" ht="14.5" x14ac:dyDescent="0.35">
      <c r="A238" s="385" t="str">
        <f t="shared" si="3"/>
        <v xml:space="preserve">P330269 </v>
      </c>
      <c r="B238" s="428" t="s">
        <v>1528</v>
      </c>
      <c r="C238" s="403">
        <v>2250</v>
      </c>
      <c r="D238" s="403"/>
      <c r="E238" s="403">
        <f>XledgerData[[#This Row],[Column1]]+XledgerData[[#This Row],[Year to date]]</f>
        <v>2250</v>
      </c>
      <c r="F238" s="372"/>
      <c r="J238" s="391"/>
      <c r="K238" s="482"/>
    </row>
    <row r="239" spans="1:14" ht="14.5" x14ac:dyDescent="0.35">
      <c r="A239" s="451" t="str">
        <f t="shared" si="3"/>
        <v xml:space="preserve">P330028 </v>
      </c>
      <c r="B239" s="459" t="s">
        <v>636</v>
      </c>
      <c r="C239" s="452">
        <v>2840</v>
      </c>
      <c r="D239" s="452">
        <v>1</v>
      </c>
      <c r="E239" s="452">
        <f>XledgerData[[#This Row],[Column1]]+XledgerData[[#This Row],[Year to date]]</f>
        <v>2841</v>
      </c>
      <c r="F239" s="372"/>
      <c r="J239" s="391"/>
      <c r="K239" s="482"/>
    </row>
    <row r="240" spans="1:14" ht="14.5" x14ac:dyDescent="0.35">
      <c r="A240" s="451" t="str">
        <f t="shared" si="3"/>
        <v xml:space="preserve">P330003 </v>
      </c>
      <c r="B240" s="459" t="s">
        <v>624</v>
      </c>
      <c r="C240" s="452">
        <v>2841</v>
      </c>
      <c r="D240" s="452"/>
      <c r="E240" s="452">
        <f>XledgerData[[#This Row],[Column1]]+XledgerData[[#This Row],[Year to date]]</f>
        <v>2841</v>
      </c>
      <c r="F240" s="359"/>
      <c r="J240" s="391"/>
      <c r="K240" s="482"/>
    </row>
    <row r="241" spans="1:15" ht="14.5" x14ac:dyDescent="0.35">
      <c r="A241" s="345" t="str">
        <f t="shared" si="3"/>
        <v xml:space="preserve">P330203 </v>
      </c>
      <c r="B241" s="496" t="s">
        <v>1426</v>
      </c>
      <c r="C241" s="497">
        <v>7999</v>
      </c>
      <c r="D241" s="497"/>
      <c r="E241" s="497">
        <f>XledgerData[[#This Row],[Column1]]+XledgerData[[#This Row],[Year to date]]</f>
        <v>7999</v>
      </c>
      <c r="F241" s="359"/>
      <c r="J241" s="391"/>
      <c r="K241" s="482"/>
    </row>
    <row r="242" spans="1:15" ht="14.5" x14ac:dyDescent="0.35">
      <c r="A242" s="470" t="str">
        <f t="shared" si="3"/>
        <v xml:space="preserve">P330477 </v>
      </c>
      <c r="B242" s="471" t="s">
        <v>839</v>
      </c>
      <c r="C242" s="472">
        <v>2546</v>
      </c>
      <c r="D242" s="472"/>
      <c r="E242" s="472">
        <f>XledgerData[[#This Row],[Column1]]+XledgerData[[#This Row],[Year to date]]</f>
        <v>2546</v>
      </c>
      <c r="F242" s="372"/>
      <c r="J242" s="391"/>
      <c r="K242" s="482"/>
    </row>
    <row r="243" spans="1:15" s="46" customFormat="1" ht="14.5" x14ac:dyDescent="0.35">
      <c r="A243" s="341" t="str">
        <f t="shared" si="3"/>
        <v xml:space="preserve">P330271 </v>
      </c>
      <c r="B243" s="427" t="s">
        <v>1565</v>
      </c>
      <c r="C243" s="383">
        <v>5000</v>
      </c>
      <c r="D243" s="383"/>
      <c r="E243" s="383">
        <f>XledgerData[[#This Row],[Column1]]+XledgerData[[#This Row],[Year to date]]</f>
        <v>5000</v>
      </c>
      <c r="F243" s="372"/>
      <c r="J243" s="391"/>
      <c r="K243" s="482"/>
    </row>
    <row r="244" spans="1:15" ht="14.5" x14ac:dyDescent="0.35">
      <c r="A244" s="478" t="str">
        <f t="shared" si="3"/>
        <v xml:space="preserve">P330397 </v>
      </c>
      <c r="B244" s="479" t="s">
        <v>795</v>
      </c>
      <c r="C244" s="480">
        <v>10950</v>
      </c>
      <c r="D244" s="480"/>
      <c r="E244" s="480">
        <f>XledgerData[[#This Row],[Column1]]+XledgerData[[#This Row],[Year to date]]</f>
        <v>10950</v>
      </c>
      <c r="F244" s="359"/>
      <c r="J244" s="391"/>
      <c r="K244" s="482"/>
    </row>
    <row r="245" spans="1:15" ht="14.5" x14ac:dyDescent="0.35">
      <c r="A245" s="511" t="str">
        <f t="shared" ref="A245:A279" si="4">LEFT(B245,FIND(" ",B245,1))</f>
        <v xml:space="preserve">P330328 </v>
      </c>
      <c r="B245" s="448" t="s">
        <v>1492</v>
      </c>
      <c r="C245" s="499">
        <v>1100</v>
      </c>
      <c r="D245" s="499"/>
      <c r="E245" s="499">
        <f>XledgerData[[#This Row],[Column1]]+XledgerData[[#This Row],[Year to date]]</f>
        <v>1100</v>
      </c>
      <c r="F245" s="359"/>
      <c r="J245" s="391"/>
      <c r="K245" s="482"/>
    </row>
    <row r="246" spans="1:15" ht="14.5" x14ac:dyDescent="0.35">
      <c r="A246" s="484" t="str">
        <f t="shared" si="4"/>
        <v xml:space="preserve">P330182 </v>
      </c>
      <c r="B246" s="454" t="s">
        <v>718</v>
      </c>
      <c r="C246" s="455">
        <v>5937</v>
      </c>
      <c r="D246" s="455"/>
      <c r="E246" s="455">
        <f>XledgerData[[#This Row],[Column1]]+XledgerData[[#This Row],[Year to date]]</f>
        <v>5937</v>
      </c>
      <c r="F246" s="359"/>
      <c r="J246" s="391"/>
      <c r="K246" s="482"/>
      <c r="O246" s="370"/>
    </row>
    <row r="247" spans="1:15" ht="14.5" x14ac:dyDescent="0.35">
      <c r="A247" s="478" t="str">
        <f t="shared" si="4"/>
        <v xml:space="preserve">P330392 </v>
      </c>
      <c r="B247" s="479" t="s">
        <v>792</v>
      </c>
      <c r="C247" s="480">
        <v>7436</v>
      </c>
      <c r="D247" s="480"/>
      <c r="E247" s="480">
        <f>XledgerData[[#This Row],[Column1]]+XledgerData[[#This Row],[Year to date]]</f>
        <v>7436</v>
      </c>
      <c r="F247" s="372"/>
      <c r="J247" s="391"/>
      <c r="K247" s="482"/>
    </row>
    <row r="248" spans="1:15" ht="14.5" x14ac:dyDescent="0.35">
      <c r="A248" s="481" t="str">
        <f t="shared" si="4"/>
        <v xml:space="preserve">P330342 </v>
      </c>
      <c r="B248" s="464" t="s">
        <v>1534</v>
      </c>
      <c r="C248" s="465">
        <v>2424</v>
      </c>
      <c r="D248" s="465"/>
      <c r="E248" s="465">
        <f>XledgerData[[#This Row],[Column1]]+XledgerData[[#This Row],[Year to date]]</f>
        <v>2424</v>
      </c>
      <c r="F248" s="359"/>
      <c r="J248" s="391"/>
      <c r="K248" s="482"/>
    </row>
    <row r="249" spans="1:15" ht="14.5" x14ac:dyDescent="0.35">
      <c r="A249" s="478" t="str">
        <f t="shared" si="4"/>
        <v xml:space="preserve">P330411 </v>
      </c>
      <c r="B249" s="479" t="s">
        <v>804</v>
      </c>
      <c r="C249" s="480">
        <v>1537</v>
      </c>
      <c r="D249" s="480">
        <v>3135</v>
      </c>
      <c r="E249" s="480">
        <f>XledgerData[[#This Row],[Column1]]+XledgerData[[#This Row],[Year to date]]</f>
        <v>4672</v>
      </c>
      <c r="F249" s="359"/>
      <c r="J249" s="391"/>
      <c r="K249" s="482"/>
    </row>
    <row r="250" spans="1:15" ht="14.5" x14ac:dyDescent="0.35">
      <c r="A250" s="342" t="str">
        <f t="shared" si="4"/>
        <v xml:space="preserve">P330431 </v>
      </c>
      <c r="B250" s="439" t="s">
        <v>812</v>
      </c>
      <c r="C250" s="409">
        <v>1885</v>
      </c>
      <c r="D250" s="409">
        <v>315</v>
      </c>
      <c r="E250" s="409">
        <f>XledgerData[[#This Row],[Column1]]+XledgerData[[#This Row],[Year to date]]</f>
        <v>2200</v>
      </c>
      <c r="F250" s="359"/>
      <c r="J250" s="391"/>
      <c r="K250" s="482"/>
    </row>
    <row r="251" spans="1:15" ht="14.5" x14ac:dyDescent="0.35">
      <c r="A251" s="393" t="str">
        <f t="shared" si="4"/>
        <v xml:space="preserve">P330217 </v>
      </c>
      <c r="B251" s="422" t="s">
        <v>1584</v>
      </c>
      <c r="C251" s="400">
        <v>760</v>
      </c>
      <c r="D251" s="400">
        <v>-30</v>
      </c>
      <c r="E251" s="400">
        <f>XledgerData[[#This Row],[Column1]]+XledgerData[[#This Row],[Year to date]]</f>
        <v>730</v>
      </c>
      <c r="F251" s="359"/>
      <c r="J251" s="391"/>
      <c r="K251" s="482"/>
    </row>
    <row r="252" spans="1:15" s="46" customFormat="1" ht="14.5" x14ac:dyDescent="0.35">
      <c r="A252" s="478" t="str">
        <f t="shared" si="4"/>
        <v xml:space="preserve">P330132 </v>
      </c>
      <c r="B252" s="479" t="s">
        <v>692</v>
      </c>
      <c r="C252" s="480">
        <v>2100</v>
      </c>
      <c r="D252" s="480">
        <v>1653</v>
      </c>
      <c r="E252" s="480">
        <f>XledgerData[[#This Row],[Column1]]+XledgerData[[#This Row],[Year to date]]</f>
        <v>3753</v>
      </c>
      <c r="F252" s="359"/>
      <c r="J252" s="391"/>
      <c r="K252" s="482"/>
    </row>
    <row r="253" spans="1:15" ht="14.5" x14ac:dyDescent="0.35">
      <c r="A253" s="365" t="str">
        <f t="shared" si="4"/>
        <v xml:space="preserve">P330152 </v>
      </c>
      <c r="B253" s="426" t="s">
        <v>1559</v>
      </c>
      <c r="C253" s="401">
        <v>12854</v>
      </c>
      <c r="D253" s="401">
        <v>500</v>
      </c>
      <c r="E253" s="401">
        <f>XledgerData[[#This Row],[Column1]]+XledgerData[[#This Row],[Year to date]]</f>
        <v>13354</v>
      </c>
      <c r="F253" s="372"/>
      <c r="J253" s="391"/>
      <c r="K253" s="482"/>
    </row>
    <row r="254" spans="1:15" ht="14.5" x14ac:dyDescent="0.35">
      <c r="A254" s="470" t="str">
        <f t="shared" si="4"/>
        <v xml:space="preserve">P330448 </v>
      </c>
      <c r="B254" s="471" t="s">
        <v>821</v>
      </c>
      <c r="C254" s="472">
        <v>4858</v>
      </c>
      <c r="D254" s="472">
        <v>200</v>
      </c>
      <c r="E254" s="472">
        <f>XledgerData[[#This Row],[Column1]]+XledgerData[[#This Row],[Year to date]]</f>
        <v>5058</v>
      </c>
      <c r="F254" s="359"/>
      <c r="J254" s="391"/>
      <c r="K254" s="482"/>
    </row>
    <row r="255" spans="1:15" ht="14.5" x14ac:dyDescent="0.35">
      <c r="A255" s="498" t="str">
        <f t="shared" si="4"/>
        <v xml:space="preserve">P330071 </v>
      </c>
      <c r="B255" s="461" t="s">
        <v>659</v>
      </c>
      <c r="C255" s="462">
        <v>6395</v>
      </c>
      <c r="D255" s="462">
        <v>605</v>
      </c>
      <c r="E255" s="462">
        <f>XledgerData[[#This Row],[Column1]]+XledgerData[[#This Row],[Year to date]]</f>
        <v>7000</v>
      </c>
      <c r="F255" s="359"/>
      <c r="J255" s="391"/>
      <c r="K255" s="482"/>
    </row>
    <row r="256" spans="1:15" ht="14.5" x14ac:dyDescent="0.35">
      <c r="A256" s="498" t="str">
        <f t="shared" si="4"/>
        <v xml:space="preserve">P330064 </v>
      </c>
      <c r="B256" s="461" t="s">
        <v>1372</v>
      </c>
      <c r="C256" s="462">
        <v>10719</v>
      </c>
      <c r="D256" s="462">
        <v>1031</v>
      </c>
      <c r="E256" s="462">
        <f>XledgerData[[#This Row],[Column1]]+XledgerData[[#This Row],[Year to date]]</f>
        <v>11750</v>
      </c>
      <c r="F256" s="359"/>
      <c r="J256" s="391"/>
      <c r="K256" s="482"/>
    </row>
    <row r="257" spans="1:11" ht="14.5" x14ac:dyDescent="0.35">
      <c r="A257" s="498" t="str">
        <f t="shared" si="4"/>
        <v xml:space="preserve">P330059 </v>
      </c>
      <c r="B257" s="461" t="s">
        <v>1407</v>
      </c>
      <c r="C257" s="462">
        <v>11000</v>
      </c>
      <c r="D257" s="462"/>
      <c r="E257" s="462">
        <f>XledgerData[[#This Row],[Column1]]+XledgerData[[#This Row],[Year to date]]</f>
        <v>11000</v>
      </c>
      <c r="F257" s="359"/>
      <c r="J257" s="391"/>
      <c r="K257" s="482"/>
    </row>
    <row r="258" spans="1:11" ht="14.5" x14ac:dyDescent="0.35">
      <c r="A258" s="389" t="str">
        <f t="shared" si="4"/>
        <v xml:space="preserve">B021 </v>
      </c>
      <c r="B258" s="447" t="s">
        <v>1580</v>
      </c>
      <c r="C258" s="380">
        <v>3500</v>
      </c>
      <c r="D258" s="380"/>
      <c r="E258" s="380">
        <f>XledgerData[[#This Row],[Column1]]+XledgerData[[#This Row],[Year to date]]</f>
        <v>3500</v>
      </c>
      <c r="F258" s="359"/>
      <c r="J258" s="391"/>
      <c r="K258" s="513"/>
    </row>
    <row r="259" spans="1:11" ht="14.5" x14ac:dyDescent="0.35">
      <c r="A259" s="394" t="str">
        <f t="shared" si="4"/>
        <v xml:space="preserve">B078 </v>
      </c>
      <c r="B259" s="448" t="s">
        <v>1399</v>
      </c>
      <c r="C259" s="379">
        <v>41370</v>
      </c>
      <c r="D259" s="379"/>
      <c r="E259" s="379">
        <f>XledgerData[[#This Row],[Column1]]+XledgerData[[#This Row],[Year to date]]</f>
        <v>41370</v>
      </c>
      <c r="F259" s="372"/>
      <c r="J259" s="391"/>
      <c r="K259" s="482"/>
    </row>
    <row r="260" spans="1:11" s="46" customFormat="1" ht="14.5" x14ac:dyDescent="0.35">
      <c r="A260" s="490" t="str">
        <f t="shared" si="4"/>
        <v xml:space="preserve">C330129 </v>
      </c>
      <c r="B260" s="488" t="s">
        <v>1400</v>
      </c>
      <c r="C260" s="489">
        <v>2624</v>
      </c>
      <c r="D260" s="489"/>
      <c r="E260" s="489">
        <f>XledgerData[[#This Row],[Column1]]+XledgerData[[#This Row],[Year to date]]</f>
        <v>2624</v>
      </c>
      <c r="F260" s="372"/>
      <c r="J260" s="391"/>
      <c r="K260" s="482"/>
    </row>
    <row r="261" spans="1:11" ht="14.5" x14ac:dyDescent="0.35">
      <c r="A261" s="467" t="str">
        <f t="shared" si="4"/>
        <v xml:space="preserve">P330005 </v>
      </c>
      <c r="B261" s="468" t="s">
        <v>625</v>
      </c>
      <c r="C261" s="469">
        <v>38665</v>
      </c>
      <c r="D261" s="469"/>
      <c r="E261" s="469">
        <f>XledgerData[[#This Row],[Column1]]+XledgerData[[#This Row],[Year to date]]</f>
        <v>38665</v>
      </c>
      <c r="F261" s="359"/>
      <c r="J261" s="391"/>
      <c r="K261" s="482"/>
    </row>
    <row r="262" spans="1:11" ht="14.5" x14ac:dyDescent="0.35">
      <c r="A262" s="467" t="str">
        <f t="shared" si="4"/>
        <v xml:space="preserve">P330011 </v>
      </c>
      <c r="B262" s="468" t="s">
        <v>628</v>
      </c>
      <c r="C262" s="469">
        <v>3279</v>
      </c>
      <c r="D262" s="469"/>
      <c r="E262" s="469">
        <f>XledgerData[[#This Row],[Column1]]+XledgerData[[#This Row],[Year to date]]</f>
        <v>3279</v>
      </c>
      <c r="F262" s="359"/>
      <c r="J262" s="391"/>
      <c r="K262" s="482"/>
    </row>
    <row r="263" spans="1:11" ht="14.5" x14ac:dyDescent="0.35">
      <c r="A263" s="467" t="str">
        <f t="shared" si="4"/>
        <v xml:space="preserve">P330014 </v>
      </c>
      <c r="B263" s="468" t="s">
        <v>1572</v>
      </c>
      <c r="C263" s="469">
        <v>4000</v>
      </c>
      <c r="D263" s="469"/>
      <c r="E263" s="469">
        <f>XledgerData[[#This Row],[Column1]]+XledgerData[[#This Row],[Year to date]]</f>
        <v>4000</v>
      </c>
      <c r="F263" s="359"/>
      <c r="J263" s="391"/>
      <c r="K263" s="482"/>
    </row>
    <row r="264" spans="1:11" ht="14.5" x14ac:dyDescent="0.35">
      <c r="A264" s="467" t="str">
        <f t="shared" si="4"/>
        <v xml:space="preserve">P330015 </v>
      </c>
      <c r="B264" s="468" t="s">
        <v>631</v>
      </c>
      <c r="C264" s="469">
        <v>4207</v>
      </c>
      <c r="D264" s="469">
        <v>400</v>
      </c>
      <c r="E264" s="469">
        <f>XledgerData[[#This Row],[Column1]]+XledgerData[[#This Row],[Year to date]]</f>
        <v>4607</v>
      </c>
      <c r="F264" s="359"/>
      <c r="J264" s="391"/>
      <c r="K264" s="482"/>
    </row>
    <row r="265" spans="1:11" ht="14.5" x14ac:dyDescent="0.35">
      <c r="A265" s="363" t="str">
        <f t="shared" si="4"/>
        <v xml:space="preserve">P330016 </v>
      </c>
      <c r="B265" s="434" t="s">
        <v>1469</v>
      </c>
      <c r="C265" s="414">
        <v>5500</v>
      </c>
      <c r="D265" s="356"/>
      <c r="E265" s="373">
        <f>XledgerData[[#This Row],[Column1]]+XledgerData[[#This Row],[Year to date]]</f>
        <v>5500</v>
      </c>
      <c r="F265" s="359"/>
      <c r="J265" s="391"/>
      <c r="K265" s="482"/>
    </row>
    <row r="266" spans="1:11" ht="14.5" x14ac:dyDescent="0.35">
      <c r="A266" s="467" t="str">
        <f t="shared" si="4"/>
        <v xml:space="preserve">P330018 </v>
      </c>
      <c r="B266" s="468" t="s">
        <v>1470</v>
      </c>
      <c r="C266" s="469">
        <v>4557</v>
      </c>
      <c r="D266" s="469"/>
      <c r="E266" s="469">
        <f>XledgerData[[#This Row],[Column1]]+XledgerData[[#This Row],[Year to date]]</f>
        <v>4557</v>
      </c>
      <c r="F266" s="359"/>
      <c r="J266" s="391"/>
      <c r="K266" s="482"/>
    </row>
    <row r="267" spans="1:11" ht="14.5" x14ac:dyDescent="0.35">
      <c r="A267" s="467" t="str">
        <f t="shared" si="4"/>
        <v xml:space="preserve">P330020 </v>
      </c>
      <c r="B267" s="468" t="s">
        <v>1605</v>
      </c>
      <c r="C267" s="469">
        <v>1250</v>
      </c>
      <c r="D267" s="469"/>
      <c r="E267" s="469">
        <f>XledgerData[[#This Row],[Column1]]+XledgerData[[#This Row],[Year to date]]</f>
        <v>1250</v>
      </c>
      <c r="F267" s="359"/>
      <c r="J267" s="391"/>
      <c r="K267" s="390"/>
    </row>
    <row r="268" spans="1:11" ht="14.5" x14ac:dyDescent="0.35">
      <c r="A268" s="467" t="str">
        <f t="shared" si="4"/>
        <v xml:space="preserve">P330022 </v>
      </c>
      <c r="B268" s="468" t="s">
        <v>1402</v>
      </c>
      <c r="C268" s="469">
        <v>5000</v>
      </c>
      <c r="D268" s="469"/>
      <c r="E268" s="469">
        <f>XledgerData[[#This Row],[Column1]]+XledgerData[[#This Row],[Year to date]]</f>
        <v>5000</v>
      </c>
      <c r="F268" s="359"/>
      <c r="J268" s="391"/>
      <c r="K268" s="390"/>
    </row>
    <row r="269" spans="1:11" ht="14.5" x14ac:dyDescent="0.35">
      <c r="A269" s="363" t="str">
        <f t="shared" si="4"/>
        <v xml:space="preserve">P330023 </v>
      </c>
      <c r="B269" s="434" t="s">
        <v>1556</v>
      </c>
      <c r="C269" s="414">
        <v>4000</v>
      </c>
      <c r="D269" s="414">
        <v>909</v>
      </c>
      <c r="E269" s="414">
        <f>XledgerData[[#This Row],[Column1]]+XledgerData[[#This Row],[Year to date]]</f>
        <v>4909</v>
      </c>
      <c r="F269" s="359"/>
      <c r="J269" s="391"/>
      <c r="K269" s="482"/>
    </row>
    <row r="270" spans="1:11" ht="14.5" x14ac:dyDescent="0.35">
      <c r="A270" s="456" t="str">
        <f t="shared" si="4"/>
        <v xml:space="preserve">P330031 </v>
      </c>
      <c r="B270" s="457" t="s">
        <v>1404</v>
      </c>
      <c r="C270" s="458">
        <v>8000</v>
      </c>
      <c r="D270" s="458"/>
      <c r="E270" s="458">
        <f>XledgerData[[#This Row],[Column1]]+XledgerData[[#This Row],[Year to date]]</f>
        <v>8000</v>
      </c>
      <c r="F270" s="359"/>
      <c r="J270" s="391"/>
      <c r="K270" s="482"/>
    </row>
    <row r="271" spans="1:11" ht="14.5" x14ac:dyDescent="0.35">
      <c r="A271" s="456" t="str">
        <f t="shared" si="4"/>
        <v xml:space="preserve">P330033 </v>
      </c>
      <c r="B271" s="457" t="s">
        <v>639</v>
      </c>
      <c r="C271" s="458">
        <v>7107</v>
      </c>
      <c r="D271" s="458"/>
      <c r="E271" s="458">
        <f>XledgerData[[#This Row],[Column1]]+XledgerData[[#This Row],[Year to date]]</f>
        <v>7107</v>
      </c>
      <c r="F271" s="359"/>
      <c r="J271" s="391"/>
      <c r="K271" s="482"/>
    </row>
    <row r="272" spans="1:11" ht="14.5" x14ac:dyDescent="0.35">
      <c r="A272" s="361" t="str">
        <f t="shared" si="4"/>
        <v xml:space="preserve">P330041 </v>
      </c>
      <c r="B272" s="424" t="s">
        <v>644</v>
      </c>
      <c r="C272" s="412">
        <v>62580</v>
      </c>
      <c r="D272" s="356"/>
      <c r="E272" s="373">
        <f>XledgerData[[#This Row],[Column1]]+XledgerData[[#This Row],[Year to date]]</f>
        <v>62580</v>
      </c>
      <c r="F272" s="359"/>
      <c r="J272" s="391"/>
      <c r="K272" s="513"/>
    </row>
    <row r="273" spans="1:14" ht="14.5" x14ac:dyDescent="0.35">
      <c r="A273" s="502" t="str">
        <f t="shared" si="4"/>
        <v xml:space="preserve">P330049 </v>
      </c>
      <c r="B273" s="461" t="s">
        <v>650</v>
      </c>
      <c r="C273" s="462">
        <v>9860</v>
      </c>
      <c r="D273" s="462"/>
      <c r="E273" s="462">
        <f>XledgerData[[#This Row],[Column1]]+XledgerData[[#This Row],[Year to date]]</f>
        <v>9860</v>
      </c>
      <c r="F273" s="359"/>
      <c r="J273" s="391"/>
      <c r="K273" s="390"/>
    </row>
    <row r="274" spans="1:14" ht="14.5" x14ac:dyDescent="0.35">
      <c r="A274" s="381" t="str">
        <f t="shared" si="4"/>
        <v xml:space="preserve">P330054 </v>
      </c>
      <c r="B274" s="433" t="s">
        <v>1369</v>
      </c>
      <c r="C274" s="413">
        <v>13500</v>
      </c>
      <c r="D274" s="356"/>
      <c r="E274" s="373">
        <f>XledgerData[[#This Row],[Column1]]+XledgerData[[#This Row],[Year to date]]</f>
        <v>13500</v>
      </c>
      <c r="F274" s="359"/>
      <c r="J274" s="391"/>
      <c r="K274" s="390"/>
    </row>
    <row r="275" spans="1:14" ht="14.5" x14ac:dyDescent="0.35">
      <c r="A275" s="498" t="str">
        <f t="shared" si="4"/>
        <v xml:space="preserve">P330055 </v>
      </c>
      <c r="B275" s="461" t="s">
        <v>652</v>
      </c>
      <c r="C275" s="462">
        <v>22500</v>
      </c>
      <c r="D275" s="462"/>
      <c r="E275" s="462">
        <f>XledgerData[[#This Row],[Column1]]+XledgerData[[#This Row],[Year to date]]</f>
        <v>22500</v>
      </c>
      <c r="F275" s="359"/>
      <c r="J275" s="391"/>
      <c r="K275" s="390"/>
    </row>
    <row r="276" spans="1:14" ht="14.5" x14ac:dyDescent="0.35">
      <c r="A276" s="502" t="str">
        <f t="shared" si="4"/>
        <v xml:space="preserve">P330061 </v>
      </c>
      <c r="B276" s="461" t="s">
        <v>1607</v>
      </c>
      <c r="C276" s="462">
        <v>4045</v>
      </c>
      <c r="D276" s="462"/>
      <c r="E276" s="462">
        <f>XledgerData[[#This Row],[Column1]]+XledgerData[[#This Row],[Year to date]]</f>
        <v>4045</v>
      </c>
      <c r="F276" s="359"/>
      <c r="J276" s="391"/>
      <c r="K276" s="390"/>
    </row>
    <row r="277" spans="1:14" s="46" customFormat="1" ht="14.5" x14ac:dyDescent="0.35">
      <c r="A277" s="502" t="str">
        <f t="shared" si="4"/>
        <v xml:space="preserve">P330062 </v>
      </c>
      <c r="B277" s="461" t="s">
        <v>655</v>
      </c>
      <c r="C277" s="462">
        <v>19500</v>
      </c>
      <c r="D277" s="462"/>
      <c r="E277" s="462">
        <f>XledgerData[[#This Row],[Column1]]+XledgerData[[#This Row],[Year to date]]</f>
        <v>19500</v>
      </c>
      <c r="F277" s="359"/>
      <c r="J277" s="391"/>
      <c r="K277" s="390"/>
      <c r="L277" s="43"/>
      <c r="M277" s="43"/>
      <c r="N277" s="43"/>
    </row>
    <row r="278" spans="1:14" ht="14.5" x14ac:dyDescent="0.35">
      <c r="A278" s="502" t="str">
        <f t="shared" si="4"/>
        <v xml:space="preserve">P330063 </v>
      </c>
      <c r="B278" s="461" t="s">
        <v>1408</v>
      </c>
      <c r="C278" s="462">
        <v>4461</v>
      </c>
      <c r="D278" s="462"/>
      <c r="E278" s="462">
        <f>XledgerData[[#This Row],[Column1]]+XledgerData[[#This Row],[Year to date]]</f>
        <v>4461</v>
      </c>
      <c r="F278" s="359"/>
      <c r="J278" s="391"/>
      <c r="K278" s="390"/>
    </row>
    <row r="279" spans="1:14" ht="14.5" x14ac:dyDescent="0.35">
      <c r="A279" s="502" t="str">
        <f t="shared" si="4"/>
        <v xml:space="preserve">P330067 </v>
      </c>
      <c r="B279" s="461" t="s">
        <v>657</v>
      </c>
      <c r="C279" s="462">
        <v>7841</v>
      </c>
      <c r="D279" s="462"/>
      <c r="E279" s="462">
        <f>XledgerData[[#This Row],[Column1]]+XledgerData[[#This Row],[Year to date]]</f>
        <v>7841</v>
      </c>
      <c r="F279" s="359"/>
      <c r="J279" s="391"/>
      <c r="K279" s="390"/>
    </row>
    <row r="280" spans="1:14" ht="14.5" x14ac:dyDescent="0.35">
      <c r="A280" s="502" t="s">
        <v>930</v>
      </c>
      <c r="B280" s="461" t="s">
        <v>1609</v>
      </c>
      <c r="C280" s="462">
        <v>19750</v>
      </c>
      <c r="D280" s="462"/>
      <c r="E280" s="462">
        <f>XledgerData[[#This Row],[Column1]]+XledgerData[[#This Row],[Year to date]]</f>
        <v>19750</v>
      </c>
      <c r="F280" s="359"/>
      <c r="J280" s="391"/>
      <c r="K280" s="390"/>
      <c r="L280" s="46"/>
      <c r="M280" s="46"/>
      <c r="N280" s="46"/>
    </row>
    <row r="281" spans="1:14" s="46" customFormat="1" ht="14.5" x14ac:dyDescent="0.35">
      <c r="A281" s="494" t="str">
        <f t="shared" ref="A281:A312" si="5">LEFT(B281,FIND(" ",B281,1))</f>
        <v xml:space="preserve">P330069 </v>
      </c>
      <c r="B281" s="483" t="s">
        <v>658</v>
      </c>
      <c r="C281" s="453">
        <v>4114</v>
      </c>
      <c r="D281" s="453"/>
      <c r="E281" s="453">
        <f>XledgerData[[#This Row],[Column1]]+XledgerData[[#This Row],[Year to date]]</f>
        <v>4114</v>
      </c>
      <c r="F281" s="359"/>
      <c r="J281" s="391"/>
      <c r="K281" s="390"/>
    </row>
    <row r="282" spans="1:14" s="46" customFormat="1" ht="14.5" x14ac:dyDescent="0.35">
      <c r="A282" s="502" t="str">
        <f t="shared" si="5"/>
        <v xml:space="preserve">P330070 </v>
      </c>
      <c r="B282" s="461" t="s">
        <v>1471</v>
      </c>
      <c r="C282" s="462">
        <v>6253</v>
      </c>
      <c r="D282" s="462"/>
      <c r="E282" s="462">
        <f>XledgerData[[#This Row],[Column1]]+XledgerData[[#This Row],[Year to date]]</f>
        <v>6253</v>
      </c>
      <c r="F282" s="359"/>
      <c r="J282" s="391"/>
      <c r="K282" s="390"/>
      <c r="L282" s="43"/>
      <c r="M282" s="43"/>
      <c r="N282" s="43"/>
    </row>
    <row r="283" spans="1:14" ht="14.5" x14ac:dyDescent="0.35">
      <c r="A283" s="508" t="str">
        <f t="shared" si="5"/>
        <v xml:space="preserve">P330078 </v>
      </c>
      <c r="B283" s="509" t="s">
        <v>663</v>
      </c>
      <c r="C283" s="510">
        <v>20640</v>
      </c>
      <c r="D283" s="510"/>
      <c r="E283" s="510">
        <f>XledgerData[[#This Row],[Column1]]+XledgerData[[#This Row],[Year to date]]</f>
        <v>20640</v>
      </c>
      <c r="F283" s="359"/>
      <c r="J283" s="391"/>
      <c r="K283" s="390"/>
    </row>
    <row r="284" spans="1:14" ht="14.5" x14ac:dyDescent="0.35">
      <c r="A284" s="364" t="str">
        <f t="shared" si="5"/>
        <v xml:space="preserve">P330082 </v>
      </c>
      <c r="B284" s="437" t="s">
        <v>1370</v>
      </c>
      <c r="C284" s="411">
        <v>16000</v>
      </c>
      <c r="D284" s="387"/>
      <c r="E284" s="373">
        <f>XledgerData[[#This Row],[Column1]]+XledgerData[[#This Row],[Year to date]]</f>
        <v>16000</v>
      </c>
      <c r="F284" s="359"/>
      <c r="J284" s="391"/>
      <c r="K284" s="390"/>
    </row>
    <row r="285" spans="1:14" ht="14.5" x14ac:dyDescent="0.35">
      <c r="A285" s="508" t="str">
        <f t="shared" si="5"/>
        <v xml:space="preserve">P330085 </v>
      </c>
      <c r="B285" s="509" t="s">
        <v>1606</v>
      </c>
      <c r="C285" s="510">
        <v>72892</v>
      </c>
      <c r="D285" s="510">
        <v>3000</v>
      </c>
      <c r="E285" s="510">
        <f>XledgerData[[#This Row],[Column1]]+XledgerData[[#This Row],[Year to date]]</f>
        <v>75892</v>
      </c>
      <c r="F285" s="359"/>
      <c r="J285" s="391"/>
      <c r="K285" s="390"/>
    </row>
    <row r="286" spans="1:14" ht="14.5" x14ac:dyDescent="0.35">
      <c r="A286" s="494" t="str">
        <f t="shared" si="5"/>
        <v xml:space="preserve">P330107 </v>
      </c>
      <c r="B286" s="483" t="s">
        <v>676</v>
      </c>
      <c r="C286" s="453">
        <v>15050</v>
      </c>
      <c r="D286" s="453"/>
      <c r="E286" s="453">
        <f>XledgerData[[#This Row],[Column1]]+XledgerData[[#This Row],[Year to date]]</f>
        <v>15050</v>
      </c>
      <c r="F286" s="359"/>
      <c r="J286" s="391"/>
      <c r="K286" s="390"/>
    </row>
    <row r="287" spans="1:14" ht="14.5" x14ac:dyDescent="0.35">
      <c r="A287" s="360" t="str">
        <f t="shared" si="5"/>
        <v xml:space="preserve">P330111 </v>
      </c>
      <c r="B287" s="425" t="s">
        <v>1558</v>
      </c>
      <c r="C287" s="398">
        <v>14000</v>
      </c>
      <c r="D287" s="356"/>
      <c r="E287" s="373">
        <f>XledgerData[[#This Row],[Column1]]+XledgerData[[#This Row],[Year to date]]</f>
        <v>14000</v>
      </c>
      <c r="F287" s="359"/>
      <c r="J287" s="391"/>
      <c r="K287" s="390"/>
    </row>
    <row r="288" spans="1:14" ht="14.5" x14ac:dyDescent="0.35">
      <c r="A288" s="494" t="str">
        <f t="shared" si="5"/>
        <v xml:space="preserve">P330115 </v>
      </c>
      <c r="B288" s="483" t="s">
        <v>681</v>
      </c>
      <c r="C288" s="453">
        <v>10066</v>
      </c>
      <c r="D288" s="453"/>
      <c r="E288" s="453">
        <f>XledgerData[[#This Row],[Column1]]+XledgerData[[#This Row],[Year to date]]</f>
        <v>10066</v>
      </c>
      <c r="F288" s="359"/>
      <c r="J288" s="391"/>
      <c r="K288" s="390"/>
    </row>
    <row r="289" spans="1:14" ht="14.5" x14ac:dyDescent="0.35">
      <c r="A289" s="494" t="str">
        <f t="shared" si="5"/>
        <v xml:space="preserve">P330117 </v>
      </c>
      <c r="B289" s="483" t="s">
        <v>682</v>
      </c>
      <c r="C289" s="453">
        <v>7927</v>
      </c>
      <c r="D289" s="453"/>
      <c r="E289" s="453">
        <f>XledgerData[[#This Row],[Column1]]+XledgerData[[#This Row],[Year to date]]</f>
        <v>7927</v>
      </c>
      <c r="F289" s="359"/>
      <c r="J289" s="391"/>
      <c r="K289" s="390"/>
    </row>
    <row r="290" spans="1:14" ht="14.5" x14ac:dyDescent="0.35">
      <c r="A290" s="490" t="str">
        <f t="shared" si="5"/>
        <v xml:space="preserve">P330119 </v>
      </c>
      <c r="B290" s="488" t="s">
        <v>683</v>
      </c>
      <c r="C290" s="489">
        <v>23116</v>
      </c>
      <c r="D290" s="489"/>
      <c r="E290" s="489">
        <f>XledgerData[[#This Row],[Column1]]+XledgerData[[#This Row],[Year to date]]</f>
        <v>23116</v>
      </c>
      <c r="F290" s="359"/>
      <c r="J290" s="391"/>
      <c r="K290" s="390"/>
    </row>
    <row r="291" spans="1:14" ht="14.5" x14ac:dyDescent="0.35">
      <c r="A291" s="490" t="str">
        <f t="shared" si="5"/>
        <v xml:space="preserve">P330124 </v>
      </c>
      <c r="B291" s="488" t="s">
        <v>686</v>
      </c>
      <c r="C291" s="489">
        <v>8372</v>
      </c>
      <c r="D291" s="489"/>
      <c r="E291" s="489">
        <f>XledgerData[[#This Row],[Column1]]+XledgerData[[#This Row],[Year to date]]</f>
        <v>8372</v>
      </c>
      <c r="F291" s="359"/>
      <c r="J291" s="391"/>
      <c r="K291" s="390"/>
    </row>
    <row r="292" spans="1:14" ht="14.5" x14ac:dyDescent="0.35">
      <c r="A292" s="490" t="str">
        <f t="shared" si="5"/>
        <v xml:space="preserve">P330126 </v>
      </c>
      <c r="B292" s="488" t="s">
        <v>688</v>
      </c>
      <c r="C292" s="489">
        <v>26702</v>
      </c>
      <c r="D292" s="489"/>
      <c r="E292" s="489">
        <f>XledgerData[[#This Row],[Column1]]+XledgerData[[#This Row],[Year to date]]</f>
        <v>26702</v>
      </c>
      <c r="F292" s="359"/>
      <c r="J292" s="391"/>
      <c r="K292" s="390"/>
    </row>
    <row r="293" spans="1:14" ht="14.5" x14ac:dyDescent="0.35">
      <c r="A293" s="490" t="str">
        <f t="shared" si="5"/>
        <v xml:space="preserve">P330131 </v>
      </c>
      <c r="B293" s="488" t="s">
        <v>691</v>
      </c>
      <c r="C293" s="489">
        <v>5112</v>
      </c>
      <c r="D293" s="489"/>
      <c r="E293" s="489">
        <f>XledgerData[[#This Row],[Column1]]+XledgerData[[#This Row],[Year to date]]</f>
        <v>5112</v>
      </c>
      <c r="F293" s="359"/>
      <c r="J293" s="391"/>
      <c r="K293" s="390"/>
    </row>
    <row r="294" spans="1:14" ht="14.5" x14ac:dyDescent="0.35">
      <c r="A294" s="495" t="str">
        <f t="shared" si="5"/>
        <v xml:space="preserve">P330136 </v>
      </c>
      <c r="B294" s="496" t="s">
        <v>1476</v>
      </c>
      <c r="C294" s="497">
        <v>6100</v>
      </c>
      <c r="D294" s="497"/>
      <c r="E294" s="497">
        <f>XledgerData[[#This Row],[Column1]]+XledgerData[[#This Row],[Year to date]]</f>
        <v>6100</v>
      </c>
      <c r="F294" s="359"/>
      <c r="J294" s="391"/>
      <c r="K294" s="390"/>
    </row>
    <row r="295" spans="1:14" ht="14.5" x14ac:dyDescent="0.35">
      <c r="A295" s="490" t="str">
        <f t="shared" si="5"/>
        <v xml:space="preserve">P330139 </v>
      </c>
      <c r="B295" s="488" t="s">
        <v>697</v>
      </c>
      <c r="C295" s="489">
        <v>8689</v>
      </c>
      <c r="D295" s="489"/>
      <c r="E295" s="489">
        <f>XledgerData[[#This Row],[Column1]]+XledgerData[[#This Row],[Year to date]]</f>
        <v>8689</v>
      </c>
      <c r="F295" s="359"/>
      <c r="J295" s="391"/>
      <c r="K295" s="390"/>
    </row>
    <row r="296" spans="1:14" ht="14.5" x14ac:dyDescent="0.35">
      <c r="A296" s="451" t="str">
        <f t="shared" si="5"/>
        <v xml:space="preserve">P330141 </v>
      </c>
      <c r="B296" s="459" t="s">
        <v>1621</v>
      </c>
      <c r="C296" s="452">
        <v>17214</v>
      </c>
      <c r="D296" s="452"/>
      <c r="E296" s="452">
        <f>XledgerData[[#This Row],[Column1]]+XledgerData[[#This Row],[Year to date]]</f>
        <v>17214</v>
      </c>
      <c r="F296" s="359"/>
      <c r="J296" s="391"/>
      <c r="K296" s="390"/>
    </row>
    <row r="297" spans="1:14" ht="14.5" x14ac:dyDescent="0.35">
      <c r="A297" s="451" t="str">
        <f t="shared" si="5"/>
        <v xml:space="preserve">P330142 </v>
      </c>
      <c r="B297" s="459" t="s">
        <v>699</v>
      </c>
      <c r="C297" s="452">
        <v>5000</v>
      </c>
      <c r="D297" s="452"/>
      <c r="E297" s="452">
        <f>XledgerData[[#This Row],[Column1]]+XledgerData[[#This Row],[Year to date]]</f>
        <v>5000</v>
      </c>
      <c r="F297" s="359"/>
      <c r="J297" s="391"/>
      <c r="K297" s="390"/>
    </row>
    <row r="298" spans="1:14" ht="14.5" x14ac:dyDescent="0.35">
      <c r="A298" s="451" t="str">
        <f t="shared" si="5"/>
        <v xml:space="preserve">P330143 </v>
      </c>
      <c r="B298" s="459" t="s">
        <v>1414</v>
      </c>
      <c r="C298" s="452">
        <v>2167</v>
      </c>
      <c r="D298" s="452"/>
      <c r="E298" s="452">
        <f>XledgerData[[#This Row],[Column1]]+XledgerData[[#This Row],[Year to date]]</f>
        <v>2167</v>
      </c>
      <c r="F298" s="359"/>
      <c r="J298" s="391"/>
      <c r="K298" s="390"/>
      <c r="L298" s="46"/>
      <c r="M298" s="46"/>
      <c r="N298" s="46"/>
    </row>
    <row r="299" spans="1:14" s="46" customFormat="1" ht="14.5" x14ac:dyDescent="0.35">
      <c r="A299" s="451" t="str">
        <f t="shared" si="5"/>
        <v xml:space="preserve">P330145 </v>
      </c>
      <c r="B299" s="459" t="s">
        <v>1521</v>
      </c>
      <c r="C299" s="452">
        <v>12293</v>
      </c>
      <c r="D299" s="452"/>
      <c r="E299" s="452">
        <f>XledgerData[[#This Row],[Column1]]+XledgerData[[#This Row],[Year to date]]</f>
        <v>12293</v>
      </c>
      <c r="F299" s="359"/>
      <c r="J299" s="391"/>
      <c r="K299" s="390"/>
      <c r="L299" s="43"/>
      <c r="M299" s="43"/>
      <c r="N299" s="43"/>
    </row>
    <row r="300" spans="1:14" ht="14.5" x14ac:dyDescent="0.35">
      <c r="A300" s="451" t="str">
        <f t="shared" si="5"/>
        <v xml:space="preserve">P330146 </v>
      </c>
      <c r="B300" s="459" t="s">
        <v>700</v>
      </c>
      <c r="C300" s="452">
        <v>11605</v>
      </c>
      <c r="D300" s="452"/>
      <c r="E300" s="452">
        <f>XledgerData[[#This Row],[Column1]]+XledgerData[[#This Row],[Year to date]]</f>
        <v>11605</v>
      </c>
      <c r="F300" s="359"/>
      <c r="J300" s="391"/>
      <c r="K300" s="390"/>
    </row>
    <row r="301" spans="1:14" x14ac:dyDescent="0.3">
      <c r="A301" s="451" t="str">
        <f t="shared" si="5"/>
        <v xml:space="preserve">P330148 </v>
      </c>
      <c r="B301" s="459" t="s">
        <v>1415</v>
      </c>
      <c r="C301" s="452">
        <v>4787</v>
      </c>
      <c r="D301" s="452">
        <v>250</v>
      </c>
      <c r="E301" s="452">
        <f>XledgerData[[#This Row],[Column1]]+XledgerData[[#This Row],[Year to date]]</f>
        <v>5037</v>
      </c>
      <c r="F301" s="359"/>
    </row>
    <row r="302" spans="1:14" x14ac:dyDescent="0.3">
      <c r="A302" s="451" t="str">
        <f t="shared" si="5"/>
        <v xml:space="preserve">P330149 </v>
      </c>
      <c r="B302" s="459" t="s">
        <v>1522</v>
      </c>
      <c r="C302" s="452">
        <v>6383</v>
      </c>
      <c r="D302" s="452"/>
      <c r="E302" s="452">
        <f>XledgerData[[#This Row],[Column1]]+XledgerData[[#This Row],[Year to date]]</f>
        <v>6383</v>
      </c>
      <c r="F302" s="359"/>
      <c r="K302" s="370"/>
    </row>
    <row r="303" spans="1:14" x14ac:dyDescent="0.3">
      <c r="A303" s="365" t="str">
        <f t="shared" si="5"/>
        <v xml:space="preserve">P330156 </v>
      </c>
      <c r="B303" s="426" t="s">
        <v>1417</v>
      </c>
      <c r="C303" s="401">
        <v>14825</v>
      </c>
      <c r="D303" s="356"/>
      <c r="E303" s="373">
        <f>XledgerData[[#This Row],[Column1]]+XledgerData[[#This Row],[Year to date]]</f>
        <v>14825</v>
      </c>
      <c r="F303" s="359"/>
    </row>
    <row r="304" spans="1:14" ht="14.5" x14ac:dyDescent="0.35">
      <c r="A304" s="451" t="str">
        <f t="shared" si="5"/>
        <v xml:space="preserve">P330162 </v>
      </c>
      <c r="B304" s="459" t="s">
        <v>1418</v>
      </c>
      <c r="C304" s="452">
        <v>6000</v>
      </c>
      <c r="D304" s="452">
        <v>1500</v>
      </c>
      <c r="E304" s="452">
        <f>XledgerData[[#This Row],[Column1]]+XledgerData[[#This Row],[Year to date]]</f>
        <v>7500</v>
      </c>
      <c r="F304" s="359"/>
      <c r="J304" s="391"/>
      <c r="K304" s="390"/>
    </row>
    <row r="305" spans="1:14" ht="14.5" x14ac:dyDescent="0.35">
      <c r="A305" s="589" t="str">
        <f t="shared" si="5"/>
        <v xml:space="preserve">P330163 </v>
      </c>
      <c r="B305" s="459" t="s">
        <v>1419</v>
      </c>
      <c r="C305" s="452">
        <v>13750</v>
      </c>
      <c r="D305" s="452">
        <f>-2500+4750</f>
        <v>2250</v>
      </c>
      <c r="E305" s="452">
        <f>XledgerData[[#This Row],[Column1]]+XledgerData[[#This Row],[Year to date]]</f>
        <v>16000</v>
      </c>
      <c r="F305" s="359"/>
      <c r="J305" s="391"/>
      <c r="K305" s="390"/>
    </row>
    <row r="306" spans="1:14" ht="14.5" x14ac:dyDescent="0.35">
      <c r="A306" s="350" t="str">
        <f t="shared" si="5"/>
        <v xml:space="preserve">P330166 </v>
      </c>
      <c r="B306" s="426" t="s">
        <v>1524</v>
      </c>
      <c r="C306" s="401">
        <v>15300</v>
      </c>
      <c r="D306" s="387"/>
      <c r="E306" s="373">
        <f>XledgerData[[#This Row],[Column1]]+XledgerData[[#This Row],[Year to date]]</f>
        <v>15300</v>
      </c>
      <c r="F306" s="359"/>
      <c r="J306" s="391"/>
      <c r="K306" s="390"/>
      <c r="M306" s="369"/>
      <c r="N306" s="367"/>
    </row>
    <row r="307" spans="1:14" ht="14.5" x14ac:dyDescent="0.35">
      <c r="A307" s="451" t="str">
        <f t="shared" si="5"/>
        <v xml:space="preserve">P330167 </v>
      </c>
      <c r="B307" s="459" t="s">
        <v>710</v>
      </c>
      <c r="C307" s="452">
        <v>5319</v>
      </c>
      <c r="D307" s="452"/>
      <c r="E307" s="452">
        <f>XledgerData[[#This Row],[Column1]]+XledgerData[[#This Row],[Year to date]]</f>
        <v>5319</v>
      </c>
      <c r="F307" s="359"/>
      <c r="J307" s="391"/>
      <c r="K307" s="390"/>
    </row>
    <row r="308" spans="1:14" ht="14.5" x14ac:dyDescent="0.35">
      <c r="A308" s="451" t="str">
        <f t="shared" si="5"/>
        <v xml:space="preserve">P330168 </v>
      </c>
      <c r="B308" s="459" t="s">
        <v>711</v>
      </c>
      <c r="C308" s="452">
        <v>24410</v>
      </c>
      <c r="D308" s="452"/>
      <c r="E308" s="452">
        <f>XledgerData[[#This Row],[Column1]]+XledgerData[[#This Row],[Year to date]]</f>
        <v>24410</v>
      </c>
      <c r="F308" s="359"/>
      <c r="J308" s="391"/>
      <c r="K308" s="390"/>
    </row>
    <row r="309" spans="1:14" ht="14.5" x14ac:dyDescent="0.35">
      <c r="A309" s="484" t="str">
        <f t="shared" si="5"/>
        <v xml:space="preserve">P330172 </v>
      </c>
      <c r="B309" s="454" t="s">
        <v>1478</v>
      </c>
      <c r="C309" s="455">
        <v>1700</v>
      </c>
      <c r="D309" s="455"/>
      <c r="E309" s="455">
        <f>XledgerData[[#This Row],[Column1]]+XledgerData[[#This Row],[Year to date]]</f>
        <v>1700</v>
      </c>
      <c r="F309" s="359"/>
      <c r="J309" s="391"/>
      <c r="K309" s="390"/>
    </row>
    <row r="310" spans="1:14" ht="14.5" x14ac:dyDescent="0.35">
      <c r="A310" s="484" t="str">
        <f t="shared" si="5"/>
        <v xml:space="preserve">P330174 </v>
      </c>
      <c r="B310" s="454" t="s">
        <v>1420</v>
      </c>
      <c r="C310" s="455">
        <v>4397</v>
      </c>
      <c r="D310" s="455"/>
      <c r="E310" s="455">
        <f>XledgerData[[#This Row],[Column1]]+XledgerData[[#This Row],[Year to date]]</f>
        <v>4397</v>
      </c>
      <c r="F310" s="359"/>
      <c r="J310" s="391"/>
      <c r="K310" s="390"/>
    </row>
    <row r="311" spans="1:14" ht="14.5" x14ac:dyDescent="0.35">
      <c r="A311" s="484" t="str">
        <f t="shared" si="5"/>
        <v xml:space="preserve">P330177 </v>
      </c>
      <c r="B311" s="454" t="s">
        <v>715</v>
      </c>
      <c r="C311" s="455">
        <v>4397</v>
      </c>
      <c r="D311" s="455"/>
      <c r="E311" s="455">
        <f>XledgerData[[#This Row],[Column1]]+XledgerData[[#This Row],[Year to date]]</f>
        <v>4397</v>
      </c>
      <c r="F311" s="359"/>
      <c r="J311" s="391"/>
      <c r="K311" s="390"/>
    </row>
    <row r="312" spans="1:14" ht="14.5" x14ac:dyDescent="0.35">
      <c r="A312" s="484" t="str">
        <f t="shared" si="5"/>
        <v xml:space="preserve">P330185 </v>
      </c>
      <c r="B312" s="454" t="s">
        <v>1525</v>
      </c>
      <c r="C312" s="455">
        <v>3800</v>
      </c>
      <c r="D312" s="455"/>
      <c r="E312" s="455">
        <f>XledgerData[[#This Row],[Column1]]+XledgerData[[#This Row],[Year to date]]</f>
        <v>3800</v>
      </c>
      <c r="F312" s="359"/>
      <c r="J312" s="391"/>
      <c r="K312" s="390"/>
    </row>
    <row r="313" spans="1:14" s="46" customFormat="1" ht="14.5" x14ac:dyDescent="0.35">
      <c r="A313" s="484" t="str">
        <f t="shared" ref="A313:A344" si="6">LEFT(B313,FIND(" ",B313,1))</f>
        <v xml:space="preserve">P330187 </v>
      </c>
      <c r="B313" s="540" t="s">
        <v>719</v>
      </c>
      <c r="C313" s="455">
        <v>4115</v>
      </c>
      <c r="D313" s="455"/>
      <c r="E313" s="455">
        <f>XledgerData[[#This Row],[Column1]]+XledgerData[[#This Row],[Year to date]]</f>
        <v>4115</v>
      </c>
      <c r="F313" s="359"/>
      <c r="J313" s="391"/>
      <c r="K313" s="390"/>
    </row>
    <row r="314" spans="1:14" ht="14.5" x14ac:dyDescent="0.35">
      <c r="A314" s="484" t="str">
        <f t="shared" si="6"/>
        <v xml:space="preserve">P330188 </v>
      </c>
      <c r="B314" s="454" t="s">
        <v>1422</v>
      </c>
      <c r="C314" s="455">
        <v>6591</v>
      </c>
      <c r="D314" s="455"/>
      <c r="E314" s="455">
        <f>XledgerData[[#This Row],[Column1]]+XledgerData[[#This Row],[Year to date]]</f>
        <v>6591</v>
      </c>
      <c r="F314" s="359"/>
      <c r="J314" s="331"/>
    </row>
    <row r="315" spans="1:14" ht="14.5" x14ac:dyDescent="0.35">
      <c r="A315" s="484" t="str">
        <f t="shared" si="6"/>
        <v xml:space="preserve">P330189 </v>
      </c>
      <c r="B315" s="454" t="s">
        <v>720</v>
      </c>
      <c r="C315" s="455">
        <v>8245</v>
      </c>
      <c r="D315" s="455"/>
      <c r="E315" s="455">
        <f>XledgerData[[#This Row],[Column1]]+XledgerData[[#This Row],[Year to date]]</f>
        <v>8245</v>
      </c>
      <c r="F315" s="359"/>
      <c r="K315" s="390"/>
    </row>
    <row r="316" spans="1:14" x14ac:dyDescent="0.3">
      <c r="A316" s="340" t="str">
        <f t="shared" si="6"/>
        <v xml:space="preserve">P330190 </v>
      </c>
      <c r="B316" s="427" t="s">
        <v>1526</v>
      </c>
      <c r="C316" s="383">
        <v>3000</v>
      </c>
      <c r="D316" s="356"/>
      <c r="E316" s="373">
        <f>XledgerData[[#This Row],[Column1]]+XledgerData[[#This Row],[Year to date]]</f>
        <v>3000</v>
      </c>
      <c r="F316" s="359"/>
      <c r="J316" s="46"/>
    </row>
    <row r="317" spans="1:14" s="46" customFormat="1" x14ac:dyDescent="0.3">
      <c r="A317" s="484" t="str">
        <f t="shared" si="6"/>
        <v xml:space="preserve">P330192 </v>
      </c>
      <c r="B317" s="454" t="s">
        <v>1483</v>
      </c>
      <c r="C317" s="455">
        <v>5000</v>
      </c>
      <c r="D317" s="455"/>
      <c r="E317" s="455">
        <f>XledgerData[[#This Row],[Column1]]+XledgerData[[#This Row],[Year to date]]</f>
        <v>5000</v>
      </c>
      <c r="F317" s="359"/>
      <c r="J317" s="43"/>
      <c r="K317" s="367"/>
    </row>
    <row r="318" spans="1:14" x14ac:dyDescent="0.3">
      <c r="A318" s="484" t="str">
        <f t="shared" si="6"/>
        <v xml:space="preserve">P330193 </v>
      </c>
      <c r="B318" s="454" t="s">
        <v>722</v>
      </c>
      <c r="C318" s="455">
        <v>2970</v>
      </c>
      <c r="D318" s="455"/>
      <c r="E318" s="455">
        <f>XledgerData[[#This Row],[Column1]]+XledgerData[[#This Row],[Year to date]]</f>
        <v>2970</v>
      </c>
      <c r="F318" s="359"/>
    </row>
    <row r="319" spans="1:14" x14ac:dyDescent="0.3">
      <c r="A319" s="341" t="str">
        <f t="shared" si="6"/>
        <v xml:space="preserve">P330195 </v>
      </c>
      <c r="B319" s="427" t="s">
        <v>1622</v>
      </c>
      <c r="C319" s="383">
        <v>1700</v>
      </c>
      <c r="D319" s="522"/>
      <c r="E319" s="531">
        <f>XledgerData[[#This Row],[Column1]]+XledgerData[[#This Row],[Year to date]]</f>
        <v>1700</v>
      </c>
      <c r="F319" s="359"/>
    </row>
    <row r="320" spans="1:14" s="46" customFormat="1" x14ac:dyDescent="0.3">
      <c r="A320" s="495" t="str">
        <f t="shared" si="6"/>
        <v xml:space="preserve">P330198 </v>
      </c>
      <c r="B320" s="496" t="s">
        <v>1423</v>
      </c>
      <c r="C320" s="497">
        <v>11000</v>
      </c>
      <c r="D320" s="497"/>
      <c r="E320" s="497">
        <f>XledgerData[[#This Row],[Column1]]+XledgerData[[#This Row],[Year to date]]</f>
        <v>11000</v>
      </c>
      <c r="F320" s="359"/>
    </row>
    <row r="321" spans="1:6" x14ac:dyDescent="0.3">
      <c r="A321" s="495" t="str">
        <f t="shared" si="6"/>
        <v xml:space="preserve">P330201 </v>
      </c>
      <c r="B321" s="496" t="s">
        <v>1425</v>
      </c>
      <c r="C321" s="497">
        <v>5500</v>
      </c>
      <c r="D321" s="497"/>
      <c r="E321" s="497">
        <f>XledgerData[[#This Row],[Column1]]+XledgerData[[#This Row],[Year to date]]</f>
        <v>5500</v>
      </c>
      <c r="F321" s="359"/>
    </row>
    <row r="322" spans="1:6" x14ac:dyDescent="0.3">
      <c r="A322" s="495" t="str">
        <f t="shared" si="6"/>
        <v xml:space="preserve">P330202 </v>
      </c>
      <c r="B322" s="496" t="s">
        <v>1485</v>
      </c>
      <c r="C322" s="497">
        <v>2000</v>
      </c>
      <c r="D322" s="497"/>
      <c r="E322" s="497">
        <f>XledgerData[[#This Row],[Column1]]+XledgerData[[#This Row],[Year to date]]</f>
        <v>2000</v>
      </c>
      <c r="F322" s="359"/>
    </row>
    <row r="323" spans="1:6" x14ac:dyDescent="0.3">
      <c r="A323" s="495" t="str">
        <f t="shared" si="6"/>
        <v xml:space="preserve">P330206 </v>
      </c>
      <c r="B323" s="496" t="s">
        <v>725</v>
      </c>
      <c r="C323" s="497">
        <v>6208</v>
      </c>
      <c r="D323" s="497"/>
      <c r="E323" s="497">
        <f>XledgerData[[#This Row],[Column1]]+XledgerData[[#This Row],[Year to date]]</f>
        <v>6208</v>
      </c>
      <c r="F323" s="359"/>
    </row>
    <row r="324" spans="1:6" x14ac:dyDescent="0.3">
      <c r="A324" s="495" t="str">
        <f t="shared" si="6"/>
        <v xml:space="preserve">P330207 </v>
      </c>
      <c r="B324" s="496" t="s">
        <v>1427</v>
      </c>
      <c r="C324" s="497">
        <v>9300</v>
      </c>
      <c r="D324" s="497"/>
      <c r="E324" s="497">
        <f>XledgerData[[#This Row],[Column1]]+XledgerData[[#This Row],[Year to date]]</f>
        <v>9300</v>
      </c>
      <c r="F324" s="359"/>
    </row>
    <row r="325" spans="1:6" x14ac:dyDescent="0.3">
      <c r="A325" s="523" t="str">
        <f t="shared" si="6"/>
        <v xml:space="preserve">P330208 </v>
      </c>
      <c r="B325" s="496" t="s">
        <v>1428</v>
      </c>
      <c r="C325" s="497">
        <v>9219</v>
      </c>
      <c r="D325" s="497"/>
      <c r="E325" s="497">
        <f>XledgerData[[#This Row],[Column1]]+XledgerData[[#This Row],[Year to date]]</f>
        <v>9219</v>
      </c>
      <c r="F325" s="359"/>
    </row>
    <row r="326" spans="1:6" x14ac:dyDescent="0.3">
      <c r="A326" s="495" t="str">
        <f t="shared" si="6"/>
        <v xml:space="preserve">P330209 </v>
      </c>
      <c r="B326" s="496" t="s">
        <v>1583</v>
      </c>
      <c r="C326" s="497">
        <v>2120</v>
      </c>
      <c r="D326" s="497"/>
      <c r="E326" s="497">
        <f>XledgerData[[#This Row],[Column1]]+XledgerData[[#This Row],[Year to date]]</f>
        <v>2120</v>
      </c>
      <c r="F326" s="359"/>
    </row>
    <row r="327" spans="1:6" s="46" customFormat="1" x14ac:dyDescent="0.3">
      <c r="A327" s="495" t="str">
        <f t="shared" si="6"/>
        <v xml:space="preserve">P330210 </v>
      </c>
      <c r="B327" s="496" t="s">
        <v>1429</v>
      </c>
      <c r="C327" s="497">
        <v>7800</v>
      </c>
      <c r="D327" s="400"/>
      <c r="E327" s="400">
        <f>XledgerData[[#This Row],[Column1]]+XledgerData[[#This Row],[Year to date]]</f>
        <v>7800</v>
      </c>
      <c r="F327" s="359"/>
    </row>
    <row r="328" spans="1:6" x14ac:dyDescent="0.3">
      <c r="A328" s="593" t="str">
        <f t="shared" si="6"/>
        <v xml:space="preserve">P330215 </v>
      </c>
      <c r="B328" s="496" t="s">
        <v>727</v>
      </c>
      <c r="C328" s="497">
        <v>19200</v>
      </c>
      <c r="D328" s="497">
        <v>2000</v>
      </c>
      <c r="E328" s="497">
        <f>XledgerData[[#This Row],[Column1]]+XledgerData[[#This Row],[Year to date]]</f>
        <v>21200</v>
      </c>
      <c r="F328" s="359"/>
    </row>
    <row r="329" spans="1:6" x14ac:dyDescent="0.3">
      <c r="A329" s="495" t="str">
        <f t="shared" si="6"/>
        <v xml:space="preserve">P330218 </v>
      </c>
      <c r="B329" s="496" t="s">
        <v>1561</v>
      </c>
      <c r="C329" s="497">
        <v>2000</v>
      </c>
      <c r="D329" s="497">
        <v>1320</v>
      </c>
      <c r="E329" s="497">
        <f>XledgerData[[#This Row],[Column1]]+XledgerData[[#This Row],[Year to date]]</f>
        <v>3320</v>
      </c>
      <c r="F329" s="359"/>
    </row>
    <row r="330" spans="1:6" s="46" customFormat="1" x14ac:dyDescent="0.3">
      <c r="A330" s="495" t="str">
        <f t="shared" si="6"/>
        <v xml:space="preserve">P330220 </v>
      </c>
      <c r="B330" s="496" t="s">
        <v>729</v>
      </c>
      <c r="C330" s="497">
        <v>10900</v>
      </c>
      <c r="D330" s="497"/>
      <c r="E330" s="497">
        <f>XledgerData[[#This Row],[Column1]]+XledgerData[[#This Row],[Year to date]]</f>
        <v>10900</v>
      </c>
      <c r="F330" s="359"/>
    </row>
    <row r="331" spans="1:6" x14ac:dyDescent="0.3">
      <c r="A331" s="495" t="str">
        <f t="shared" si="6"/>
        <v xml:space="preserve">P330221 </v>
      </c>
      <c r="B331" s="496" t="s">
        <v>1432</v>
      </c>
      <c r="C331" s="497">
        <v>3000</v>
      </c>
      <c r="D331" s="497"/>
      <c r="E331" s="497">
        <f>XledgerData[[#This Row],[Column1]]+XledgerData[[#This Row],[Year to date]]</f>
        <v>3000</v>
      </c>
      <c r="F331" s="359"/>
    </row>
    <row r="332" spans="1:6" x14ac:dyDescent="0.3">
      <c r="A332" s="495" t="str">
        <f t="shared" si="6"/>
        <v xml:space="preserve">P330222 </v>
      </c>
      <c r="B332" s="496" t="s">
        <v>1486</v>
      </c>
      <c r="C332" s="497">
        <v>27820</v>
      </c>
      <c r="D332" s="497"/>
      <c r="E332" s="497">
        <f>XledgerData[[#This Row],[Column1]]+XledgerData[[#This Row],[Year to date]]</f>
        <v>27820</v>
      </c>
      <c r="F332" s="359"/>
    </row>
    <row r="333" spans="1:6" x14ac:dyDescent="0.3">
      <c r="A333" s="495" t="str">
        <f t="shared" si="6"/>
        <v xml:space="preserve">P330223 </v>
      </c>
      <c r="B333" s="496" t="s">
        <v>1527</v>
      </c>
      <c r="C333" s="497">
        <v>4500</v>
      </c>
      <c r="D333" s="497"/>
      <c r="E333" s="497">
        <f>XledgerData[[#This Row],[Column1]]+XledgerData[[#This Row],[Year to date]]</f>
        <v>4500</v>
      </c>
      <c r="F333" s="359"/>
    </row>
    <row r="334" spans="1:6" x14ac:dyDescent="0.3">
      <c r="A334" s="503" t="str">
        <f t="shared" si="6"/>
        <v xml:space="preserve">P330227 </v>
      </c>
      <c r="B334" s="460" t="s">
        <v>1433</v>
      </c>
      <c r="C334" s="450">
        <v>7624</v>
      </c>
      <c r="D334" s="450"/>
      <c r="E334" s="450">
        <f>XledgerData[[#This Row],[Column1]]+XledgerData[[#This Row],[Year to date]]</f>
        <v>7624</v>
      </c>
      <c r="F334" s="359"/>
    </row>
    <row r="335" spans="1:6" x14ac:dyDescent="0.3">
      <c r="A335" s="503" t="str">
        <f t="shared" si="6"/>
        <v xml:space="preserve">P330228 </v>
      </c>
      <c r="B335" s="460" t="s">
        <v>1487</v>
      </c>
      <c r="C335" s="450">
        <v>7000</v>
      </c>
      <c r="D335" s="450">
        <v>2479</v>
      </c>
      <c r="E335" s="450">
        <f>XledgerData[[#This Row],[Column1]]+XledgerData[[#This Row],[Year to date]]</f>
        <v>9479</v>
      </c>
      <c r="F335" s="359"/>
    </row>
    <row r="336" spans="1:6" x14ac:dyDescent="0.3">
      <c r="A336" s="503" t="str">
        <f t="shared" si="6"/>
        <v xml:space="preserve">P330229 </v>
      </c>
      <c r="B336" s="460" t="s">
        <v>732</v>
      </c>
      <c r="C336" s="450">
        <v>7624</v>
      </c>
      <c r="D336" s="450"/>
      <c r="E336" s="450">
        <f>XledgerData[[#This Row],[Column1]]+XledgerData[[#This Row],[Year to date]]</f>
        <v>7624</v>
      </c>
      <c r="F336" s="359"/>
    </row>
    <row r="337" spans="1:6" x14ac:dyDescent="0.3">
      <c r="A337" s="348" t="str">
        <f t="shared" si="6"/>
        <v xml:space="preserve">P330235 </v>
      </c>
      <c r="B337" s="436" t="s">
        <v>1488</v>
      </c>
      <c r="C337" s="402">
        <v>5000</v>
      </c>
      <c r="D337" s="356"/>
      <c r="E337" s="373">
        <f>XledgerData[[#This Row],[Column1]]+XledgerData[[#This Row],[Year to date]]</f>
        <v>5000</v>
      </c>
      <c r="F337" s="359"/>
    </row>
    <row r="338" spans="1:6" x14ac:dyDescent="0.3">
      <c r="A338" s="503" t="str">
        <f t="shared" si="6"/>
        <v xml:space="preserve">P330238 </v>
      </c>
      <c r="B338" s="460" t="s">
        <v>1434</v>
      </c>
      <c r="C338" s="450">
        <v>3812</v>
      </c>
      <c r="D338" s="450"/>
      <c r="E338" s="450">
        <f>XledgerData[[#This Row],[Column1]]+XledgerData[[#This Row],[Year to date]]</f>
        <v>3812</v>
      </c>
      <c r="F338" s="359"/>
    </row>
    <row r="339" spans="1:6" x14ac:dyDescent="0.3">
      <c r="A339" s="503" t="str">
        <f t="shared" si="6"/>
        <v xml:space="preserve">P330243 </v>
      </c>
      <c r="B339" s="460" t="s">
        <v>1435</v>
      </c>
      <c r="C339" s="450">
        <v>4955</v>
      </c>
      <c r="D339" s="450"/>
      <c r="E339" s="450">
        <f>XledgerData[[#This Row],[Column1]]+XledgerData[[#This Row],[Year to date]]</f>
        <v>4955</v>
      </c>
      <c r="F339" s="359"/>
    </row>
    <row r="340" spans="1:6" s="46" customFormat="1" x14ac:dyDescent="0.3">
      <c r="A340" s="386" t="str">
        <f t="shared" si="6"/>
        <v xml:space="preserve">P330245 </v>
      </c>
      <c r="B340" s="436" t="s">
        <v>1629</v>
      </c>
      <c r="C340" s="402">
        <v>5000</v>
      </c>
      <c r="D340" s="356">
        <v>2630</v>
      </c>
      <c r="E340" s="373">
        <f>XledgerData[[#This Row],[Column1]]+XledgerData[[#This Row],[Year to date]]</f>
        <v>7630</v>
      </c>
      <c r="F340" s="359"/>
    </row>
    <row r="341" spans="1:6" x14ac:dyDescent="0.3">
      <c r="A341" s="503" t="str">
        <f t="shared" si="6"/>
        <v xml:space="preserve">P330246 </v>
      </c>
      <c r="B341" s="460" t="s">
        <v>741</v>
      </c>
      <c r="C341" s="450">
        <v>23383</v>
      </c>
      <c r="D341" s="450"/>
      <c r="E341" s="450">
        <f>XledgerData[[#This Row],[Column1]]+XledgerData[[#This Row],[Year to date]]</f>
        <v>23383</v>
      </c>
      <c r="F341" s="359"/>
    </row>
    <row r="342" spans="1:6" x14ac:dyDescent="0.3">
      <c r="A342" s="503" t="str">
        <f t="shared" si="6"/>
        <v xml:space="preserve">P330249 </v>
      </c>
      <c r="B342" s="460" t="s">
        <v>1436</v>
      </c>
      <c r="C342" s="450">
        <v>11375</v>
      </c>
      <c r="D342" s="450"/>
      <c r="E342" s="450">
        <f>XledgerData[[#This Row],[Column1]]+XledgerData[[#This Row],[Year to date]]</f>
        <v>11375</v>
      </c>
      <c r="F342" s="359"/>
    </row>
    <row r="343" spans="1:6" x14ac:dyDescent="0.3">
      <c r="A343" s="503" t="str">
        <f t="shared" si="6"/>
        <v xml:space="preserve">P330250 </v>
      </c>
      <c r="B343" s="460" t="s">
        <v>742</v>
      </c>
      <c r="C343" s="450">
        <v>47196</v>
      </c>
      <c r="D343" s="450"/>
      <c r="E343" s="450">
        <f>XledgerData[[#This Row],[Column1]]+XledgerData[[#This Row],[Year to date]]</f>
        <v>47196</v>
      </c>
      <c r="F343" s="359"/>
    </row>
    <row r="344" spans="1:6" x14ac:dyDescent="0.3">
      <c r="A344" s="500" t="str">
        <f t="shared" si="6"/>
        <v xml:space="preserve">P330258 </v>
      </c>
      <c r="B344" s="492" t="s">
        <v>745</v>
      </c>
      <c r="C344" s="493">
        <v>6369</v>
      </c>
      <c r="D344" s="493"/>
      <c r="E344" s="493">
        <f>XledgerData[[#This Row],[Column1]]+XledgerData[[#This Row],[Year to date]]</f>
        <v>6369</v>
      </c>
      <c r="F344" s="359"/>
    </row>
    <row r="345" spans="1:6" x14ac:dyDescent="0.3">
      <c r="A345" s="500" t="str">
        <f t="shared" ref="A345:A376" si="7">LEFT(B345,FIND(" ",B345,1))</f>
        <v xml:space="preserve">P330259 </v>
      </c>
      <c r="B345" s="492" t="s">
        <v>1438</v>
      </c>
      <c r="C345" s="493">
        <v>1305</v>
      </c>
      <c r="D345" s="493"/>
      <c r="E345" s="493">
        <f>XledgerData[[#This Row],[Column1]]+XledgerData[[#This Row],[Year to date]]</f>
        <v>1305</v>
      </c>
      <c r="F345" s="359"/>
    </row>
    <row r="346" spans="1:6" x14ac:dyDescent="0.3">
      <c r="A346" s="500" t="str">
        <f t="shared" si="7"/>
        <v xml:space="preserve">P330262 </v>
      </c>
      <c r="B346" s="492" t="s">
        <v>747</v>
      </c>
      <c r="C346" s="493">
        <v>20000</v>
      </c>
      <c r="D346" s="493"/>
      <c r="E346" s="493">
        <f>XledgerData[[#This Row],[Column1]]+XledgerData[[#This Row],[Year to date]]</f>
        <v>20000</v>
      </c>
      <c r="F346" s="359"/>
    </row>
    <row r="347" spans="1:6" x14ac:dyDescent="0.3">
      <c r="A347" s="385" t="str">
        <f t="shared" si="7"/>
        <v xml:space="preserve">P330266 </v>
      </c>
      <c r="B347" s="428" t="s">
        <v>1585</v>
      </c>
      <c r="C347" s="403">
        <v>2352</v>
      </c>
      <c r="D347" s="403">
        <v>82</v>
      </c>
      <c r="E347" s="403">
        <f>XledgerData[[#This Row],[Column1]]+XledgerData[[#This Row],[Year to date]]</f>
        <v>2434</v>
      </c>
      <c r="F347" s="359"/>
    </row>
    <row r="348" spans="1:6" x14ac:dyDescent="0.3">
      <c r="A348" s="500" t="str">
        <f t="shared" si="7"/>
        <v xml:space="preserve">P330268 </v>
      </c>
      <c r="B348" s="492" t="s">
        <v>748</v>
      </c>
      <c r="C348" s="493">
        <v>5478</v>
      </c>
      <c r="D348" s="493"/>
      <c r="E348" s="493">
        <f>XledgerData[[#This Row],[Column1]]+XledgerData[[#This Row],[Year to date]]</f>
        <v>5478</v>
      </c>
      <c r="F348" s="359"/>
    </row>
    <row r="349" spans="1:6" x14ac:dyDescent="0.3">
      <c r="A349" s="385" t="str">
        <f t="shared" si="7"/>
        <v xml:space="preserve">P330275 </v>
      </c>
      <c r="B349" s="428" t="s">
        <v>1530</v>
      </c>
      <c r="C349" s="403">
        <v>16000</v>
      </c>
      <c r="D349" s="590">
        <f>9233+2000</f>
        <v>11233</v>
      </c>
      <c r="E349" s="590">
        <f>XledgerData[[#This Row],[Column1]]+XledgerData[[#This Row],[Year to date]]</f>
        <v>27233</v>
      </c>
      <c r="F349" s="359"/>
    </row>
    <row r="350" spans="1:6" x14ac:dyDescent="0.3">
      <c r="A350" s="491" t="str">
        <f t="shared" si="7"/>
        <v xml:space="preserve">P330277 </v>
      </c>
      <c r="B350" s="492" t="s">
        <v>752</v>
      </c>
      <c r="C350" s="493">
        <v>5700</v>
      </c>
      <c r="D350" s="493"/>
      <c r="E350" s="493">
        <f>XledgerData[[#This Row],[Column1]]+XledgerData[[#This Row],[Year to date]]</f>
        <v>5700</v>
      </c>
      <c r="F350" s="359"/>
    </row>
    <row r="351" spans="1:6" x14ac:dyDescent="0.3">
      <c r="A351" s="491" t="str">
        <f t="shared" si="7"/>
        <v xml:space="preserve">P330280 </v>
      </c>
      <c r="B351" s="492" t="s">
        <v>754</v>
      </c>
      <c r="C351" s="493">
        <v>21500</v>
      </c>
      <c r="D351" s="504"/>
      <c r="E351" s="505">
        <f>XledgerData[[#This Row],[Column1]]+XledgerData[[#This Row],[Year to date]]</f>
        <v>21500</v>
      </c>
      <c r="F351" s="359"/>
    </row>
    <row r="352" spans="1:6" x14ac:dyDescent="0.3">
      <c r="A352" s="485" t="str">
        <f t="shared" si="7"/>
        <v xml:space="preserve">P330284 </v>
      </c>
      <c r="B352" s="486" t="s">
        <v>756</v>
      </c>
      <c r="C352" s="487">
        <v>8300</v>
      </c>
      <c r="D352" s="504"/>
      <c r="E352" s="505">
        <f>XledgerData[[#This Row],[Column1]]+XledgerData[[#This Row],[Year to date]]</f>
        <v>8300</v>
      </c>
      <c r="F352" s="359"/>
    </row>
    <row r="353" spans="1:6" x14ac:dyDescent="0.3">
      <c r="A353" s="485" t="str">
        <f t="shared" si="7"/>
        <v xml:space="preserve">P330289 </v>
      </c>
      <c r="B353" s="486" t="s">
        <v>760</v>
      </c>
      <c r="C353" s="487">
        <v>10562</v>
      </c>
      <c r="D353" s="504"/>
      <c r="E353" s="505">
        <f>XledgerData[[#This Row],[Column1]]+XledgerData[[#This Row],[Year to date]]</f>
        <v>10562</v>
      </c>
      <c r="F353" s="359"/>
    </row>
    <row r="354" spans="1:6" x14ac:dyDescent="0.3">
      <c r="A354" s="485" t="str">
        <f t="shared" si="7"/>
        <v xml:space="preserve">P330290 </v>
      </c>
      <c r="B354" s="486" t="s">
        <v>1531</v>
      </c>
      <c r="C354" s="487">
        <v>7500</v>
      </c>
      <c r="D354" s="487"/>
      <c r="E354" s="487">
        <f>XledgerData[[#This Row],[Column1]]+XledgerData[[#This Row],[Year to date]]</f>
        <v>7500</v>
      </c>
      <c r="F354" s="359"/>
    </row>
    <row r="355" spans="1:6" x14ac:dyDescent="0.3">
      <c r="A355" s="485" t="str">
        <f t="shared" si="7"/>
        <v xml:space="preserve">P330293 </v>
      </c>
      <c r="B355" s="486" t="s">
        <v>1444</v>
      </c>
      <c r="C355" s="487">
        <v>7000</v>
      </c>
      <c r="D355" s="504"/>
      <c r="E355" s="505">
        <f>XledgerData[[#This Row],[Column1]]+XledgerData[[#This Row],[Year to date]]</f>
        <v>7000</v>
      </c>
      <c r="F355" s="359"/>
    </row>
    <row r="356" spans="1:6" s="46" customFormat="1" x14ac:dyDescent="0.3">
      <c r="A356" s="366" t="str">
        <f t="shared" si="7"/>
        <v xml:space="preserve">P330294 </v>
      </c>
      <c r="B356" s="429" t="s">
        <v>1573</v>
      </c>
      <c r="C356" s="404">
        <v>8000</v>
      </c>
      <c r="D356" s="404">
        <v>1000</v>
      </c>
      <c r="E356" s="404">
        <f>XledgerData[[#This Row],[Column1]]+XledgerData[[#This Row],[Year to date]]</f>
        <v>9000</v>
      </c>
      <c r="F356" s="359"/>
    </row>
    <row r="357" spans="1:6" s="46" customFormat="1" x14ac:dyDescent="0.3">
      <c r="A357" s="352" t="str">
        <f t="shared" si="7"/>
        <v xml:space="preserve">P330300 </v>
      </c>
      <c r="B357" s="429" t="s">
        <v>1598</v>
      </c>
      <c r="C357" s="404">
        <v>1500</v>
      </c>
      <c r="D357" s="356"/>
      <c r="E357" s="373">
        <f>XledgerData[[#This Row],[Column1]]+XledgerData[[#This Row],[Year to date]]</f>
        <v>1500</v>
      </c>
      <c r="F357" s="359"/>
    </row>
    <row r="358" spans="1:6" x14ac:dyDescent="0.3">
      <c r="A358" s="366" t="str">
        <f t="shared" si="7"/>
        <v xml:space="preserve">P330301 </v>
      </c>
      <c r="B358" s="429" t="s">
        <v>1599</v>
      </c>
      <c r="C358" s="404">
        <v>500</v>
      </c>
      <c r="D358" s="356"/>
      <c r="E358" s="373">
        <f>XledgerData[[#This Row],[Column1]]+XledgerData[[#This Row],[Year to date]]</f>
        <v>500</v>
      </c>
      <c r="F358" s="359"/>
    </row>
    <row r="359" spans="1:6" x14ac:dyDescent="0.3">
      <c r="A359" s="485" t="str">
        <f t="shared" si="7"/>
        <v xml:space="preserve">P330302 </v>
      </c>
      <c r="B359" s="486" t="s">
        <v>1445</v>
      </c>
      <c r="C359" s="487">
        <v>23000</v>
      </c>
      <c r="D359" s="504">
        <v>10000</v>
      </c>
      <c r="E359" s="505">
        <f>XledgerData[[#This Row],[Column1]]+XledgerData[[#This Row],[Year to date]]</f>
        <v>33000</v>
      </c>
      <c r="F359" s="359"/>
    </row>
    <row r="360" spans="1:6" x14ac:dyDescent="0.3">
      <c r="A360" s="485" t="str">
        <f t="shared" si="7"/>
        <v xml:space="preserve">P330304 </v>
      </c>
      <c r="B360" s="486" t="s">
        <v>1532</v>
      </c>
      <c r="C360" s="487">
        <v>5500</v>
      </c>
      <c r="D360" s="504"/>
      <c r="E360" s="505">
        <f>XledgerData[[#This Row],[Column1]]+XledgerData[[#This Row],[Year to date]]</f>
        <v>5500</v>
      </c>
      <c r="F360" s="359"/>
    </row>
    <row r="361" spans="1:6" x14ac:dyDescent="0.3">
      <c r="A361" s="348" t="str">
        <f t="shared" si="7"/>
        <v xml:space="preserve">P330307 </v>
      </c>
      <c r="B361" s="436" t="s">
        <v>1373</v>
      </c>
      <c r="C361" s="402">
        <v>3600</v>
      </c>
      <c r="D361" s="356"/>
      <c r="E361" s="373">
        <f>XledgerData[[#This Row],[Column1]]+XledgerData[[#This Row],[Year to date]]</f>
        <v>3600</v>
      </c>
      <c r="F361" s="359"/>
    </row>
    <row r="362" spans="1:6" s="46" customFormat="1" x14ac:dyDescent="0.3">
      <c r="A362" s="394" t="str">
        <f t="shared" si="7"/>
        <v xml:space="preserve">P330308 </v>
      </c>
      <c r="B362" s="448" t="s">
        <v>767</v>
      </c>
      <c r="C362" s="499">
        <v>10017</v>
      </c>
      <c r="D362" s="499"/>
      <c r="E362" s="499">
        <f>XledgerData[[#This Row],[Column1]]+XledgerData[[#This Row],[Year to date]]</f>
        <v>10017</v>
      </c>
      <c r="F362" s="359"/>
    </row>
    <row r="363" spans="1:6" x14ac:dyDescent="0.3">
      <c r="A363" s="394" t="str">
        <f t="shared" si="7"/>
        <v xml:space="preserve">P330312 </v>
      </c>
      <c r="B363" s="448" t="s">
        <v>771</v>
      </c>
      <c r="C363" s="499">
        <v>157600</v>
      </c>
      <c r="D363" s="499"/>
      <c r="E363" s="499">
        <f>XledgerData[[#This Row],[Column1]]+XledgerData[[#This Row],[Year to date]]</f>
        <v>157600</v>
      </c>
      <c r="F363" s="359"/>
    </row>
    <row r="364" spans="1:6" s="46" customFormat="1" x14ac:dyDescent="0.3">
      <c r="A364" s="394" t="str">
        <f t="shared" si="7"/>
        <v xml:space="preserve">P330316 </v>
      </c>
      <c r="B364" s="448" t="s">
        <v>1491</v>
      </c>
      <c r="C364" s="499">
        <v>2500</v>
      </c>
      <c r="D364" s="499"/>
      <c r="E364" s="499">
        <f>XledgerData[[#This Row],[Column1]]+XledgerData[[#This Row],[Year to date]]</f>
        <v>2500</v>
      </c>
      <c r="F364" s="359"/>
    </row>
    <row r="365" spans="1:6" x14ac:dyDescent="0.3">
      <c r="A365" s="394" t="str">
        <f t="shared" si="7"/>
        <v xml:space="preserve">P330323 </v>
      </c>
      <c r="B365" s="448" t="s">
        <v>1533</v>
      </c>
      <c r="C365" s="499">
        <v>5510</v>
      </c>
      <c r="D365" s="499"/>
      <c r="E365" s="499">
        <f>XledgerData[[#This Row],[Column1]]+XledgerData[[#This Row],[Year to date]]</f>
        <v>5510</v>
      </c>
      <c r="F365" s="359"/>
    </row>
    <row r="366" spans="1:6" x14ac:dyDescent="0.3">
      <c r="A366" s="484" t="str">
        <f t="shared" si="7"/>
        <v xml:space="preserve">P330324 </v>
      </c>
      <c r="B366" s="454" t="s">
        <v>774</v>
      </c>
      <c r="C366" s="455">
        <v>5164</v>
      </c>
      <c r="D366" s="455"/>
      <c r="E366" s="455">
        <f>XledgerData[[#This Row],[Column1]]+XledgerData[[#This Row],[Year to date]]</f>
        <v>5164</v>
      </c>
      <c r="F366" s="359"/>
    </row>
    <row r="367" spans="1:6" x14ac:dyDescent="0.3">
      <c r="A367" s="495" t="str">
        <f t="shared" si="7"/>
        <v xml:space="preserve">P330326 </v>
      </c>
      <c r="B367" s="496" t="s">
        <v>1447</v>
      </c>
      <c r="C367" s="497">
        <v>11300</v>
      </c>
      <c r="D367" s="497"/>
      <c r="E367" s="497">
        <f>XledgerData[[#This Row],[Column1]]+XledgerData[[#This Row],[Year to date]]</f>
        <v>11300</v>
      </c>
      <c r="F367" s="359"/>
    </row>
    <row r="368" spans="1:6" x14ac:dyDescent="0.3">
      <c r="A368" s="386" t="str">
        <f t="shared" si="7"/>
        <v xml:space="preserve">P330331 </v>
      </c>
      <c r="B368" s="436" t="s">
        <v>1448</v>
      </c>
      <c r="C368" s="402">
        <v>4000</v>
      </c>
      <c r="D368" s="356"/>
      <c r="E368" s="373">
        <f>XledgerData[[#This Row],[Column1]]+XledgerData[[#This Row],[Year to date]]</f>
        <v>4000</v>
      </c>
      <c r="F368" s="359"/>
    </row>
    <row r="369" spans="1:6" x14ac:dyDescent="0.3">
      <c r="A369" s="394" t="str">
        <f t="shared" si="7"/>
        <v xml:space="preserve">P330333 </v>
      </c>
      <c r="B369" s="448" t="s">
        <v>776</v>
      </c>
      <c r="C369" s="499">
        <v>6192</v>
      </c>
      <c r="D369" s="499"/>
      <c r="E369" s="499">
        <f>XledgerData[[#This Row],[Column1]]+XledgerData[[#This Row],[Year to date]]</f>
        <v>6192</v>
      </c>
      <c r="F369" s="359"/>
    </row>
    <row r="370" spans="1:6" x14ac:dyDescent="0.3">
      <c r="A370" s="371" t="str">
        <f t="shared" si="7"/>
        <v xml:space="preserve">P330343 </v>
      </c>
      <c r="B370" s="430" t="s">
        <v>1566</v>
      </c>
      <c r="C370" s="406">
        <v>1500</v>
      </c>
      <c r="D370" s="356"/>
      <c r="E370" s="373">
        <f>XledgerData[[#This Row],[Column1]]+XledgerData[[#This Row],[Year to date]]</f>
        <v>1500</v>
      </c>
      <c r="F370" s="359"/>
    </row>
    <row r="371" spans="1:6" x14ac:dyDescent="0.3">
      <c r="A371" s="371" t="str">
        <f t="shared" si="7"/>
        <v xml:space="preserve">P330344 </v>
      </c>
      <c r="B371" s="430" t="s">
        <v>1603</v>
      </c>
      <c r="C371" s="406">
        <v>3600</v>
      </c>
      <c r="D371" s="356"/>
      <c r="E371" s="373">
        <f>XledgerData[[#This Row],[Column1]]+XledgerData[[#This Row],[Year to date]]</f>
        <v>3600</v>
      </c>
      <c r="F371" s="359"/>
    </row>
    <row r="372" spans="1:6" x14ac:dyDescent="0.3">
      <c r="A372" s="338" t="str">
        <f t="shared" si="7"/>
        <v xml:space="preserve">P330345 </v>
      </c>
      <c r="B372" s="430" t="s">
        <v>779</v>
      </c>
      <c r="C372" s="406">
        <v>750</v>
      </c>
      <c r="D372" s="356"/>
      <c r="E372" s="373">
        <f>XledgerData[[#This Row],[Column1]]+XledgerData[[#This Row],[Year to date]]</f>
        <v>750</v>
      </c>
      <c r="F372" s="359"/>
    </row>
    <row r="373" spans="1:6" x14ac:dyDescent="0.3">
      <c r="A373" s="371" t="str">
        <f t="shared" si="7"/>
        <v xml:space="preserve">P330346 </v>
      </c>
      <c r="B373" s="430" t="s">
        <v>1451</v>
      </c>
      <c r="C373" s="406">
        <v>2000</v>
      </c>
      <c r="D373" s="356"/>
      <c r="E373" s="373">
        <f>XledgerData[[#This Row],[Column1]]+XledgerData[[#This Row],[Year to date]]</f>
        <v>2000</v>
      </c>
      <c r="F373" s="359"/>
    </row>
    <row r="374" spans="1:6" x14ac:dyDescent="0.3">
      <c r="A374" s="463" t="str">
        <f t="shared" si="7"/>
        <v xml:space="preserve">P330347 </v>
      </c>
      <c r="B374" s="464" t="s">
        <v>780</v>
      </c>
      <c r="C374" s="465">
        <v>3013</v>
      </c>
      <c r="D374" s="465"/>
      <c r="E374" s="465">
        <f>XledgerData[[#This Row],[Column1]]+XledgerData[[#This Row],[Year to date]]</f>
        <v>3013</v>
      </c>
      <c r="F374" s="359"/>
    </row>
    <row r="375" spans="1:6" x14ac:dyDescent="0.3">
      <c r="A375" s="371" t="str">
        <f t="shared" si="7"/>
        <v xml:space="preserve">P330348 </v>
      </c>
      <c r="B375" s="430" t="s">
        <v>1574</v>
      </c>
      <c r="C375" s="406">
        <v>1000</v>
      </c>
      <c r="D375" s="356"/>
      <c r="E375" s="373">
        <f>XledgerData[[#This Row],[Column1]]+XledgerData[[#This Row],[Year to date]]</f>
        <v>1000</v>
      </c>
      <c r="F375" s="359"/>
    </row>
    <row r="376" spans="1:6" x14ac:dyDescent="0.3">
      <c r="A376" s="463" t="str">
        <f t="shared" si="7"/>
        <v xml:space="preserve">P330349 </v>
      </c>
      <c r="B376" s="464" t="s">
        <v>1535</v>
      </c>
      <c r="C376" s="465">
        <v>4445</v>
      </c>
      <c r="D376" s="465"/>
      <c r="E376" s="465">
        <f>XledgerData[[#This Row],[Column1]]+XledgerData[[#This Row],[Year to date]]</f>
        <v>4445</v>
      </c>
      <c r="F376" s="359"/>
    </row>
    <row r="377" spans="1:6" x14ac:dyDescent="0.3">
      <c r="A377" s="463" t="str">
        <f t="shared" ref="A377:A409" si="8">LEFT(B377,FIND(" ",B377,1))</f>
        <v xml:space="preserve">P330357 </v>
      </c>
      <c r="B377" s="464" t="s">
        <v>1536</v>
      </c>
      <c r="C377" s="465">
        <v>2341</v>
      </c>
      <c r="D377" s="465"/>
      <c r="E377" s="465">
        <f>XledgerData[[#This Row],[Column1]]+XledgerData[[#This Row],[Year to date]]</f>
        <v>2341</v>
      </c>
      <c r="F377" s="359"/>
    </row>
    <row r="378" spans="1:6" x14ac:dyDescent="0.3">
      <c r="A378" s="371" t="str">
        <f t="shared" si="8"/>
        <v xml:space="preserve">P330358 </v>
      </c>
      <c r="B378" s="430" t="s">
        <v>1537</v>
      </c>
      <c r="C378" s="406">
        <v>1300</v>
      </c>
      <c r="D378" s="356"/>
      <c r="E378" s="373">
        <f>XledgerData[[#This Row],[Column1]]+XledgerData[[#This Row],[Year to date]]</f>
        <v>1300</v>
      </c>
      <c r="F378" s="359"/>
    </row>
    <row r="379" spans="1:6" x14ac:dyDescent="0.3">
      <c r="A379" s="463" t="str">
        <f t="shared" si="8"/>
        <v xml:space="preserve">P330359 </v>
      </c>
      <c r="B379" s="464" t="s">
        <v>1577</v>
      </c>
      <c r="C379" s="465">
        <v>1795</v>
      </c>
      <c r="D379" s="465"/>
      <c r="E379" s="465">
        <f>XledgerData[[#This Row],[Column1]]+XledgerData[[#This Row],[Year to date]]</f>
        <v>1795</v>
      </c>
      <c r="F379" s="359"/>
    </row>
    <row r="380" spans="1:6" x14ac:dyDescent="0.3">
      <c r="A380" s="463" t="str">
        <f t="shared" si="8"/>
        <v xml:space="preserve">P330360 </v>
      </c>
      <c r="B380" s="464" t="s">
        <v>1538</v>
      </c>
      <c r="C380" s="465">
        <v>5080</v>
      </c>
      <c r="D380" s="465"/>
      <c r="E380" s="465">
        <f>XledgerData[[#This Row],[Column1]]+XledgerData[[#This Row],[Year to date]]</f>
        <v>5080</v>
      </c>
      <c r="F380" s="359"/>
    </row>
    <row r="381" spans="1:6" s="46" customFormat="1" x14ac:dyDescent="0.3">
      <c r="A381" s="463" t="str">
        <f>LEFT(B381,FIND(" ",B381,1))</f>
        <v xml:space="preserve">P330363 </v>
      </c>
      <c r="B381" s="591" t="s">
        <v>1625</v>
      </c>
      <c r="C381" s="465">
        <v>0</v>
      </c>
      <c r="D381" s="465">
        <f>2000+928</f>
        <v>2928</v>
      </c>
      <c r="E381" s="592">
        <f>XledgerData[[#This Row],[Column1]]+XledgerData[[#This Row],[Year to date]]</f>
        <v>2928</v>
      </c>
      <c r="F381" s="359"/>
    </row>
    <row r="382" spans="1:6" x14ac:dyDescent="0.3">
      <c r="A382" s="463" t="str">
        <f t="shared" si="8"/>
        <v xml:space="preserve">P330364 </v>
      </c>
      <c r="B382" s="464" t="s">
        <v>1567</v>
      </c>
      <c r="C382" s="465">
        <v>12000</v>
      </c>
      <c r="D382" s="465"/>
      <c r="E382" s="465">
        <f>XledgerData[[#This Row],[Column1]]+XledgerData[[#This Row],[Year to date]]</f>
        <v>12000</v>
      </c>
      <c r="F382" s="359"/>
    </row>
    <row r="383" spans="1:6" x14ac:dyDescent="0.3">
      <c r="A383" s="371" t="str">
        <f t="shared" si="8"/>
        <v xml:space="preserve">P330366 </v>
      </c>
      <c r="B383" s="430" t="s">
        <v>783</v>
      </c>
      <c r="C383" s="406">
        <v>1800</v>
      </c>
      <c r="D383" s="356"/>
      <c r="E383" s="373">
        <f>XledgerData[[#This Row],[Column1]]+XledgerData[[#This Row],[Year to date]]</f>
        <v>1800</v>
      </c>
      <c r="F383" s="359"/>
    </row>
    <row r="384" spans="1:6" x14ac:dyDescent="0.3">
      <c r="A384" s="463" t="str">
        <f t="shared" si="8"/>
        <v xml:space="preserve">P330367 </v>
      </c>
      <c r="B384" s="464" t="s">
        <v>1539</v>
      </c>
      <c r="C384" s="465">
        <v>6552</v>
      </c>
      <c r="D384" s="465"/>
      <c r="E384" s="465">
        <f>XledgerData[[#This Row],[Column1]]+XledgerData[[#This Row],[Year to date]]</f>
        <v>6552</v>
      </c>
      <c r="F384" s="359"/>
    </row>
    <row r="385" spans="1:6" x14ac:dyDescent="0.3">
      <c r="A385" s="338" t="str">
        <f t="shared" si="8"/>
        <v xml:space="preserve">P330368 </v>
      </c>
      <c r="B385" s="430" t="s">
        <v>1578</v>
      </c>
      <c r="C385" s="406">
        <v>3000</v>
      </c>
      <c r="D385" s="356"/>
      <c r="E385" s="373">
        <f>XledgerData[[#This Row],[Column1]]+XledgerData[[#This Row],[Year to date]]</f>
        <v>3000</v>
      </c>
      <c r="F385" s="359"/>
    </row>
    <row r="386" spans="1:6" x14ac:dyDescent="0.3">
      <c r="A386" s="463" t="str">
        <f t="shared" si="8"/>
        <v xml:space="preserve">P330371 </v>
      </c>
      <c r="B386" s="464" t="s">
        <v>1496</v>
      </c>
      <c r="C386" s="465">
        <v>2424</v>
      </c>
      <c r="D386" s="465"/>
      <c r="E386" s="465">
        <f>XledgerData[[#This Row],[Column1]]+XledgerData[[#This Row],[Year to date]]</f>
        <v>2424</v>
      </c>
      <c r="F386" s="372"/>
    </row>
    <row r="387" spans="1:6" x14ac:dyDescent="0.3">
      <c r="A387" s="463" t="str">
        <f t="shared" si="8"/>
        <v xml:space="preserve">P330374 </v>
      </c>
      <c r="B387" s="464" t="s">
        <v>653</v>
      </c>
      <c r="C387" s="465">
        <v>16452</v>
      </c>
      <c r="D387" s="465"/>
      <c r="E387" s="465">
        <f>XledgerData[[#This Row],[Column1]]+XledgerData[[#This Row],[Year to date]]</f>
        <v>16452</v>
      </c>
      <c r="F387" s="372"/>
    </row>
    <row r="388" spans="1:6" x14ac:dyDescent="0.3">
      <c r="A388" s="463" t="str">
        <f t="shared" si="8"/>
        <v xml:space="preserve">P330377 </v>
      </c>
      <c r="B388" s="464" t="s">
        <v>1452</v>
      </c>
      <c r="C388" s="465">
        <v>30291</v>
      </c>
      <c r="D388" s="465"/>
      <c r="E388" s="465">
        <f>XledgerData[[#This Row],[Column1]]+XledgerData[[#This Row],[Year to date]]</f>
        <v>30291</v>
      </c>
      <c r="F388" s="372"/>
    </row>
    <row r="389" spans="1:6" x14ac:dyDescent="0.3">
      <c r="A389" s="463" t="str">
        <f t="shared" si="8"/>
        <v xml:space="preserve">P330378 </v>
      </c>
      <c r="B389" s="464" t="s">
        <v>785</v>
      </c>
      <c r="C389" s="465">
        <v>261</v>
      </c>
      <c r="D389" s="465"/>
      <c r="E389" s="465">
        <f>XledgerData[[#This Row],[Column1]]+XledgerData[[#This Row],[Year to date]]</f>
        <v>261</v>
      </c>
      <c r="F389" s="372"/>
    </row>
    <row r="390" spans="1:6" x14ac:dyDescent="0.3">
      <c r="A390" s="463" t="str">
        <f t="shared" si="8"/>
        <v xml:space="preserve">P330379 </v>
      </c>
      <c r="B390" s="464" t="s">
        <v>1453</v>
      </c>
      <c r="C390" s="465">
        <v>2600</v>
      </c>
      <c r="D390" s="465"/>
      <c r="E390" s="465">
        <f>XledgerData[[#This Row],[Column1]]+XledgerData[[#This Row],[Year to date]]</f>
        <v>2600</v>
      </c>
      <c r="F390" s="372"/>
    </row>
    <row r="391" spans="1:6" x14ac:dyDescent="0.3">
      <c r="A391" s="463" t="str">
        <f t="shared" si="8"/>
        <v xml:space="preserve">P330380 </v>
      </c>
      <c r="B391" s="464" t="s">
        <v>786</v>
      </c>
      <c r="C391" s="465">
        <v>58907</v>
      </c>
      <c r="D391" s="465"/>
      <c r="E391" s="465">
        <f>XledgerData[[#This Row],[Column1]]+XledgerData[[#This Row],[Year to date]]</f>
        <v>58907</v>
      </c>
      <c r="F391" s="372"/>
    </row>
    <row r="392" spans="1:6" x14ac:dyDescent="0.3">
      <c r="A392" s="463" t="str">
        <f t="shared" si="8"/>
        <v xml:space="preserve">P330381 </v>
      </c>
      <c r="B392" s="464" t="s">
        <v>787</v>
      </c>
      <c r="C392" s="465">
        <v>5764</v>
      </c>
      <c r="D392" s="465">
        <v>524</v>
      </c>
      <c r="E392" s="465">
        <f>XledgerData[[#This Row],[Column1]]+XledgerData[[#This Row],[Year to date]]</f>
        <v>6288</v>
      </c>
      <c r="F392" s="372"/>
    </row>
    <row r="393" spans="1:6" x14ac:dyDescent="0.3">
      <c r="A393" s="371" t="str">
        <f t="shared" si="8"/>
        <v xml:space="preserve">P330382 </v>
      </c>
      <c r="B393" s="430" t="s">
        <v>1569</v>
      </c>
      <c r="C393" s="406">
        <v>1000</v>
      </c>
      <c r="D393" s="406">
        <v>1310</v>
      </c>
      <c r="E393" s="406">
        <f>XledgerData[[#This Row],[Column1]]+XledgerData[[#This Row],[Year to date]]</f>
        <v>2310</v>
      </c>
      <c r="F393" s="372"/>
    </row>
    <row r="394" spans="1:6" x14ac:dyDescent="0.3">
      <c r="A394" s="463" t="str">
        <f t="shared" si="8"/>
        <v xml:space="preserve">P330384 </v>
      </c>
      <c r="B394" s="464" t="s">
        <v>789</v>
      </c>
      <c r="C394" s="465">
        <v>5000</v>
      </c>
      <c r="D394" s="465"/>
      <c r="E394" s="465">
        <f>XledgerData[[#This Row],[Column1]]+XledgerData[[#This Row],[Year to date]]</f>
        <v>5000</v>
      </c>
      <c r="F394" s="372"/>
    </row>
    <row r="395" spans="1:6" x14ac:dyDescent="0.3">
      <c r="A395" s="463" t="str">
        <f t="shared" si="8"/>
        <v xml:space="preserve">P330387 </v>
      </c>
      <c r="B395" s="464" t="s">
        <v>1454</v>
      </c>
      <c r="C395" s="465">
        <v>7468</v>
      </c>
      <c r="D395" s="465"/>
      <c r="E395" s="465">
        <f>XledgerData[[#This Row],[Column1]]+XledgerData[[#This Row],[Year to date]]</f>
        <v>7468</v>
      </c>
      <c r="F395" s="372"/>
    </row>
    <row r="396" spans="1:6" x14ac:dyDescent="0.3">
      <c r="A396" s="371" t="str">
        <f t="shared" si="8"/>
        <v xml:space="preserve">P330389 </v>
      </c>
      <c r="B396" s="430" t="s">
        <v>1579</v>
      </c>
      <c r="C396" s="406">
        <v>5819</v>
      </c>
      <c r="D396" s="406">
        <v>1000</v>
      </c>
      <c r="E396" s="406">
        <f>XledgerData[[#This Row],[Column1]]+XledgerData[[#This Row],[Year to date]]</f>
        <v>6819</v>
      </c>
      <c r="F396" s="372"/>
    </row>
    <row r="397" spans="1:6" x14ac:dyDescent="0.3">
      <c r="A397" s="463" t="str">
        <f t="shared" si="8"/>
        <v xml:space="preserve">P330391 </v>
      </c>
      <c r="B397" s="464" t="s">
        <v>1595</v>
      </c>
      <c r="C397" s="465">
        <v>1711</v>
      </c>
      <c r="D397" s="465"/>
      <c r="E397" s="465">
        <f>XledgerData[[#This Row],[Column1]]+XledgerData[[#This Row],[Year to date]]</f>
        <v>1711</v>
      </c>
      <c r="F397" s="372"/>
    </row>
    <row r="398" spans="1:6" x14ac:dyDescent="0.3">
      <c r="A398" s="478" t="str">
        <f t="shared" si="8"/>
        <v xml:space="preserve">P330393 </v>
      </c>
      <c r="B398" s="479" t="s">
        <v>1540</v>
      </c>
      <c r="C398" s="480">
        <v>11501</v>
      </c>
      <c r="D398" s="480"/>
      <c r="E398" s="480">
        <f>XledgerData[[#This Row],[Column1]]+XledgerData[[#This Row],[Year to date]]</f>
        <v>11501</v>
      </c>
      <c r="F398" s="372"/>
    </row>
    <row r="399" spans="1:6" x14ac:dyDescent="0.3">
      <c r="A399" s="478" t="str">
        <f t="shared" si="8"/>
        <v xml:space="preserve">P330395 </v>
      </c>
      <c r="B399" s="479" t="s">
        <v>793</v>
      </c>
      <c r="C399" s="480">
        <v>6901</v>
      </c>
      <c r="D399" s="480"/>
      <c r="E399" s="480">
        <f>XledgerData[[#This Row],[Column1]]+XledgerData[[#This Row],[Year to date]]</f>
        <v>6901</v>
      </c>
      <c r="F399" s="372"/>
    </row>
    <row r="400" spans="1:6" x14ac:dyDescent="0.3">
      <c r="A400" s="478" t="str">
        <f t="shared" si="8"/>
        <v xml:space="preserve">P330401 </v>
      </c>
      <c r="B400" s="596" t="s">
        <v>799</v>
      </c>
      <c r="C400" s="480">
        <v>45919</v>
      </c>
      <c r="D400" s="480">
        <f>5000+10000</f>
        <v>15000</v>
      </c>
      <c r="E400" s="480">
        <f>XledgerData[[#This Row],[Column1]]+XledgerData[[#This Row],[Year to date]]</f>
        <v>60919</v>
      </c>
      <c r="F400" s="372"/>
    </row>
    <row r="401" spans="1:6" x14ac:dyDescent="0.3">
      <c r="A401" s="473" t="str">
        <f t="shared" si="8"/>
        <v xml:space="preserve">P330403 </v>
      </c>
      <c r="B401" s="474" t="s">
        <v>1498</v>
      </c>
      <c r="C401" s="475">
        <v>2359</v>
      </c>
      <c r="D401" s="475"/>
      <c r="E401" s="475">
        <f>XledgerData[[#This Row],[Column1]]+XledgerData[[#This Row],[Year to date]]</f>
        <v>2359</v>
      </c>
      <c r="F401" s="372"/>
    </row>
    <row r="402" spans="1:6" x14ac:dyDescent="0.3">
      <c r="A402" s="392" t="str">
        <f t="shared" si="8"/>
        <v xml:space="preserve">P330405 </v>
      </c>
      <c r="B402" s="432" t="s">
        <v>1499</v>
      </c>
      <c r="C402" s="407">
        <v>2000</v>
      </c>
      <c r="D402" s="407">
        <v>2500</v>
      </c>
      <c r="E402" s="407">
        <f>XledgerData[[#This Row],[Column1]]+XledgerData[[#This Row],[Year to date]]</f>
        <v>4500</v>
      </c>
      <c r="F402" s="372"/>
    </row>
    <row r="403" spans="1:6" s="46" customFormat="1" x14ac:dyDescent="0.3">
      <c r="A403" s="517" t="str">
        <f t="shared" si="8"/>
        <v xml:space="preserve">P330406 </v>
      </c>
      <c r="B403" s="479" t="s">
        <v>800</v>
      </c>
      <c r="C403" s="480">
        <v>10756</v>
      </c>
      <c r="D403" s="597"/>
      <c r="E403" s="598">
        <f>XledgerData[[#This Row],[Column1]]+XledgerData[[#This Row],[Year to date]]</f>
        <v>10756</v>
      </c>
      <c r="F403" s="372"/>
    </row>
    <row r="404" spans="1:6" x14ac:dyDescent="0.3">
      <c r="A404" s="478" t="str">
        <f t="shared" si="8"/>
        <v xml:space="preserve">P330410 </v>
      </c>
      <c r="B404" s="479" t="s">
        <v>803</v>
      </c>
      <c r="C404" s="480">
        <v>12651</v>
      </c>
      <c r="D404" s="480"/>
      <c r="E404" s="480">
        <f>XledgerData[[#This Row],[Column1]]+XledgerData[[#This Row],[Year to date]]</f>
        <v>12651</v>
      </c>
      <c r="F404" s="372"/>
    </row>
    <row r="405" spans="1:6" x14ac:dyDescent="0.3">
      <c r="A405" s="473" t="str">
        <f t="shared" si="8"/>
        <v xml:space="preserve">P330412 </v>
      </c>
      <c r="B405" s="474" t="s">
        <v>1500</v>
      </c>
      <c r="C405" s="475">
        <v>1260</v>
      </c>
      <c r="D405" s="475"/>
      <c r="E405" s="475">
        <f>XledgerData[[#This Row],[Column1]]+XledgerData[[#This Row],[Year to date]]</f>
        <v>1260</v>
      </c>
      <c r="F405" s="372"/>
    </row>
    <row r="406" spans="1:6" x14ac:dyDescent="0.3">
      <c r="A406" s="473" t="str">
        <f t="shared" si="8"/>
        <v xml:space="preserve">P330415 </v>
      </c>
      <c r="B406" s="474" t="s">
        <v>1571</v>
      </c>
      <c r="C406" s="475">
        <v>4894</v>
      </c>
      <c r="D406" s="475"/>
      <c r="E406" s="475">
        <f>XledgerData[[#This Row],[Column1]]+XledgerData[[#This Row],[Year to date]]</f>
        <v>4894</v>
      </c>
      <c r="F406" s="372"/>
    </row>
    <row r="407" spans="1:6" x14ac:dyDescent="0.3">
      <c r="A407" s="388" t="str">
        <f t="shared" si="8"/>
        <v xml:space="preserve">P330417 </v>
      </c>
      <c r="B407" s="435" t="s">
        <v>1542</v>
      </c>
      <c r="C407" s="408">
        <v>7750</v>
      </c>
      <c r="D407" s="475"/>
      <c r="E407" s="595">
        <f>XledgerData[[#This Row],[Column1]]+XledgerData[[#This Row],[Year to date]]</f>
        <v>7750</v>
      </c>
      <c r="F407" s="372"/>
    </row>
    <row r="408" spans="1:6" s="46" customFormat="1" x14ac:dyDescent="0.3">
      <c r="A408" s="473" t="str">
        <f t="shared" si="8"/>
        <v xml:space="preserve">P330420 </v>
      </c>
      <c r="B408" s="474" t="s">
        <v>807</v>
      </c>
      <c r="C408" s="475">
        <v>10142</v>
      </c>
      <c r="D408" s="475"/>
      <c r="E408" s="475">
        <f>XledgerData[[#This Row],[Column1]]+XledgerData[[#This Row],[Year to date]]</f>
        <v>10142</v>
      </c>
      <c r="F408" s="372"/>
    </row>
    <row r="409" spans="1:6" x14ac:dyDescent="0.3">
      <c r="A409" s="473" t="str">
        <f t="shared" si="8"/>
        <v xml:space="preserve">P330422 </v>
      </c>
      <c r="B409" s="474" t="s">
        <v>1503</v>
      </c>
      <c r="C409" s="475">
        <v>3290</v>
      </c>
      <c r="D409" s="475"/>
      <c r="E409" s="475">
        <f>XledgerData[[#This Row],[Column1]]+XledgerData[[#This Row],[Year to date]]</f>
        <v>3290</v>
      </c>
      <c r="F409" s="372"/>
    </row>
    <row r="410" spans="1:6" x14ac:dyDescent="0.3">
      <c r="A410" s="473" t="str">
        <f t="shared" ref="A410:A441" si="9">LEFT(B410,FIND(" ",B410,1))</f>
        <v xml:space="preserve">P330425 </v>
      </c>
      <c r="B410" s="474" t="s">
        <v>809</v>
      </c>
      <c r="C410" s="475">
        <v>2430</v>
      </c>
      <c r="D410" s="475"/>
      <c r="E410" s="475">
        <f>XledgerData[[#This Row],[Column1]]+XledgerData[[#This Row],[Year to date]]</f>
        <v>2430</v>
      </c>
      <c r="F410" s="372"/>
    </row>
    <row r="411" spans="1:6" x14ac:dyDescent="0.3">
      <c r="A411" s="524" t="str">
        <f t="shared" si="9"/>
        <v xml:space="preserve">P330426 </v>
      </c>
      <c r="B411" s="474" t="s">
        <v>1505</v>
      </c>
      <c r="C411" s="475">
        <v>3385</v>
      </c>
      <c r="D411" s="475"/>
      <c r="E411" s="475">
        <f>XledgerData[[#This Row],[Column1]]+XledgerData[[#This Row],[Year to date]]</f>
        <v>3385</v>
      </c>
      <c r="F411" s="372"/>
    </row>
    <row r="412" spans="1:6" x14ac:dyDescent="0.3">
      <c r="A412" s="524" t="str">
        <f t="shared" si="9"/>
        <v xml:space="preserve">P330428 </v>
      </c>
      <c r="B412" s="474" t="s">
        <v>811</v>
      </c>
      <c r="C412" s="475">
        <v>8177</v>
      </c>
      <c r="D412" s="475"/>
      <c r="E412" s="475">
        <f>XledgerData[[#This Row],[Column1]]+XledgerData[[#This Row],[Year to date]]</f>
        <v>8177</v>
      </c>
      <c r="F412" s="372"/>
    </row>
    <row r="413" spans="1:6" x14ac:dyDescent="0.3">
      <c r="A413" s="526" t="str">
        <f t="shared" si="9"/>
        <v xml:space="preserve">P330430 </v>
      </c>
      <c r="B413" s="435" t="s">
        <v>1506</v>
      </c>
      <c r="C413" s="408">
        <v>6200</v>
      </c>
      <c r="D413" s="408">
        <v>3234</v>
      </c>
      <c r="E413" s="408">
        <f>XledgerData[[#This Row],[Column1]]+XledgerData[[#This Row],[Year to date]]</f>
        <v>9434</v>
      </c>
      <c r="F413" s="372"/>
    </row>
    <row r="414" spans="1:6" x14ac:dyDescent="0.3">
      <c r="A414" s="506" t="str">
        <f t="shared" si="9"/>
        <v xml:space="preserve">P330432 </v>
      </c>
      <c r="B414" s="471" t="s">
        <v>1507</v>
      </c>
      <c r="C414" s="472">
        <v>2975</v>
      </c>
      <c r="D414" s="472"/>
      <c r="E414" s="472">
        <f>XledgerData[[#This Row],[Column1]]+XledgerData[[#This Row],[Year to date]]</f>
        <v>2975</v>
      </c>
      <c r="F414" s="372"/>
    </row>
    <row r="415" spans="1:6" x14ac:dyDescent="0.3">
      <c r="A415" s="506" t="str">
        <f t="shared" si="9"/>
        <v xml:space="preserve">P330434 </v>
      </c>
      <c r="B415" s="471" t="s">
        <v>814</v>
      </c>
      <c r="C415" s="472">
        <v>2069</v>
      </c>
      <c r="D415" s="472"/>
      <c r="E415" s="472">
        <f>XledgerData[[#This Row],[Column1]]+XledgerData[[#This Row],[Year to date]]</f>
        <v>2069</v>
      </c>
      <c r="F415" s="372"/>
    </row>
    <row r="416" spans="1:6" x14ac:dyDescent="0.3">
      <c r="A416" s="581" t="str">
        <f t="shared" si="9"/>
        <v xml:space="preserve">P330435 </v>
      </c>
      <c r="B416" s="582" t="s">
        <v>1508</v>
      </c>
      <c r="C416" s="583">
        <v>12000</v>
      </c>
      <c r="D416" s="584">
        <v>2000</v>
      </c>
      <c r="E416" s="585">
        <f>XledgerData[[#This Row],[Column1]]+XledgerData[[#This Row],[Year to date]]</f>
        <v>14000</v>
      </c>
      <c r="F416" s="372"/>
    </row>
    <row r="417" spans="1:6" x14ac:dyDescent="0.3">
      <c r="A417" s="470" t="str">
        <f t="shared" si="9"/>
        <v xml:space="preserve">P330436 </v>
      </c>
      <c r="B417" s="471" t="s">
        <v>815</v>
      </c>
      <c r="C417" s="472">
        <v>4900</v>
      </c>
      <c r="D417" s="472"/>
      <c r="E417" s="472">
        <f>XledgerData[[#This Row],[Column1]]+XledgerData[[#This Row],[Year to date]]</f>
        <v>4900</v>
      </c>
      <c r="F417" s="372"/>
    </row>
    <row r="418" spans="1:6" x14ac:dyDescent="0.3">
      <c r="A418" s="470" t="str">
        <f t="shared" si="9"/>
        <v xml:space="preserve">P330438 </v>
      </c>
      <c r="B418" s="471" t="s">
        <v>1458</v>
      </c>
      <c r="C418" s="472">
        <v>1910</v>
      </c>
      <c r="D418" s="472"/>
      <c r="E418" s="472">
        <f>XledgerData[[#This Row],[Column1]]+XledgerData[[#This Row],[Year to date]]</f>
        <v>1910</v>
      </c>
      <c r="F418" s="372"/>
    </row>
    <row r="419" spans="1:6" x14ac:dyDescent="0.3">
      <c r="A419" s="506" t="str">
        <f t="shared" si="9"/>
        <v xml:space="preserve">P330440 </v>
      </c>
      <c r="B419" s="471" t="s">
        <v>1510</v>
      </c>
      <c r="C419" s="472">
        <v>3900</v>
      </c>
      <c r="D419" s="584">
        <v>2685</v>
      </c>
      <c r="E419" s="580">
        <f>XledgerData[[#This Row],[Column1]]+XledgerData[[#This Row],[Year to date]]</f>
        <v>6585</v>
      </c>
      <c r="F419" s="372"/>
    </row>
    <row r="420" spans="1:6" x14ac:dyDescent="0.3">
      <c r="A420" s="506" t="str">
        <f t="shared" si="9"/>
        <v xml:space="preserve">P330442 </v>
      </c>
      <c r="B420" s="471" t="s">
        <v>817</v>
      </c>
      <c r="C420" s="472">
        <v>3821</v>
      </c>
      <c r="D420" s="472"/>
      <c r="E420" s="472">
        <f>XledgerData[[#This Row],[Column1]]+XledgerData[[#This Row],[Year to date]]</f>
        <v>3821</v>
      </c>
      <c r="F420" s="372"/>
    </row>
    <row r="421" spans="1:6" x14ac:dyDescent="0.3">
      <c r="A421" s="470" t="str">
        <f t="shared" si="9"/>
        <v xml:space="preserve">P330445 </v>
      </c>
      <c r="B421" s="471" t="s">
        <v>820</v>
      </c>
      <c r="C421" s="472">
        <v>62716</v>
      </c>
      <c r="D421" s="472"/>
      <c r="E421" s="472">
        <f>XledgerData[[#This Row],[Column1]]+XledgerData[[#This Row],[Year to date]]</f>
        <v>62716</v>
      </c>
      <c r="F421" s="372"/>
    </row>
    <row r="422" spans="1:6" x14ac:dyDescent="0.3">
      <c r="A422" s="384" t="str">
        <f t="shared" si="9"/>
        <v xml:space="preserve">P330446 </v>
      </c>
      <c r="B422" s="439" t="s">
        <v>1511</v>
      </c>
      <c r="C422" s="409">
        <v>3000</v>
      </c>
      <c r="D422" s="356"/>
      <c r="E422" s="373">
        <f>XledgerData[[#This Row],[Column1]]+XledgerData[[#This Row],[Year to date]]</f>
        <v>3000</v>
      </c>
      <c r="F422" s="372"/>
    </row>
    <row r="423" spans="1:6" x14ac:dyDescent="0.3">
      <c r="A423" s="470" t="str">
        <f t="shared" si="9"/>
        <v xml:space="preserve">P330447 </v>
      </c>
      <c r="B423" s="471" t="s">
        <v>1460</v>
      </c>
      <c r="C423" s="472">
        <v>6300</v>
      </c>
      <c r="D423" s="472"/>
      <c r="E423" s="472">
        <f>XledgerData[[#This Row],[Column1]]+XledgerData[[#This Row],[Year to date]]</f>
        <v>6300</v>
      </c>
      <c r="F423" s="372"/>
    </row>
    <row r="424" spans="1:6" s="46" customFormat="1" x14ac:dyDescent="0.3">
      <c r="A424" s="384" t="str">
        <f t="shared" si="9"/>
        <v xml:space="preserve">P330449 </v>
      </c>
      <c r="B424" s="439" t="s">
        <v>1512</v>
      </c>
      <c r="C424" s="409">
        <v>6434</v>
      </c>
      <c r="D424" s="356"/>
      <c r="E424" s="373">
        <f>XledgerData[[#This Row],[Column1]]+XledgerData[[#This Row],[Year to date]]</f>
        <v>6434</v>
      </c>
      <c r="F424" s="372"/>
    </row>
    <row r="425" spans="1:6" x14ac:dyDescent="0.3">
      <c r="A425" s="470" t="str">
        <f t="shared" si="9"/>
        <v xml:space="preserve">P330450 </v>
      </c>
      <c r="B425" s="471" t="s">
        <v>822</v>
      </c>
      <c r="C425" s="472">
        <v>5058</v>
      </c>
      <c r="D425" s="472"/>
      <c r="E425" s="472">
        <f>XledgerData[[#This Row],[Column1]]+XledgerData[[#This Row],[Year to date]]</f>
        <v>5058</v>
      </c>
      <c r="F425" s="372"/>
    </row>
    <row r="426" spans="1:6" x14ac:dyDescent="0.3">
      <c r="A426" s="470" t="str">
        <f t="shared" si="9"/>
        <v xml:space="preserve">P330451 </v>
      </c>
      <c r="B426" s="471" t="s">
        <v>1513</v>
      </c>
      <c r="C426" s="472">
        <v>7500</v>
      </c>
      <c r="D426" s="579">
        <v>1600</v>
      </c>
      <c r="E426" s="580">
        <f>XledgerData[[#This Row],[Column1]]+XledgerData[[#This Row],[Year to date]]</f>
        <v>9100</v>
      </c>
      <c r="F426" s="372"/>
    </row>
    <row r="427" spans="1:6" x14ac:dyDescent="0.3">
      <c r="A427" s="470" t="str">
        <f t="shared" si="9"/>
        <v xml:space="preserve">P330454 </v>
      </c>
      <c r="B427" s="471" t="s">
        <v>824</v>
      </c>
      <c r="C427" s="472">
        <v>8719</v>
      </c>
      <c r="D427" s="472"/>
      <c r="E427" s="472">
        <f>XledgerData[[#This Row],[Column1]]+XledgerData[[#This Row],[Year to date]]</f>
        <v>8719</v>
      </c>
      <c r="F427" s="372"/>
    </row>
    <row r="428" spans="1:6" x14ac:dyDescent="0.3">
      <c r="A428" s="470" t="str">
        <f t="shared" si="9"/>
        <v xml:space="preserve">P330456 </v>
      </c>
      <c r="B428" s="471" t="s">
        <v>825</v>
      </c>
      <c r="C428" s="472">
        <v>5058</v>
      </c>
      <c r="D428" s="472"/>
      <c r="E428" s="472">
        <f>XledgerData[[#This Row],[Column1]]+XledgerData[[#This Row],[Year to date]]</f>
        <v>5058</v>
      </c>
      <c r="F428" s="372"/>
    </row>
    <row r="429" spans="1:6" x14ac:dyDescent="0.3">
      <c r="A429" s="389" t="str">
        <f t="shared" si="9"/>
        <v xml:space="preserve">P330462 </v>
      </c>
      <c r="B429" s="447" t="s">
        <v>831</v>
      </c>
      <c r="C429" s="466">
        <v>19868</v>
      </c>
      <c r="D429" s="466"/>
      <c r="E429" s="466">
        <f>XledgerData[[#This Row],[Column1]]+XledgerData[[#This Row],[Year to date]]</f>
        <v>19868</v>
      </c>
      <c r="F429" s="372"/>
    </row>
    <row r="430" spans="1:6" s="46" customFormat="1" x14ac:dyDescent="0.3">
      <c r="A430" s="512" t="str">
        <f t="shared" si="9"/>
        <v xml:space="preserve">P330464 </v>
      </c>
      <c r="B430" s="447" t="s">
        <v>833</v>
      </c>
      <c r="C430" s="466">
        <v>8373</v>
      </c>
      <c r="D430" s="466"/>
      <c r="E430" s="466">
        <f>XledgerData[[#This Row],[Column1]]+XledgerData[[#This Row],[Year to date]]</f>
        <v>8373</v>
      </c>
      <c r="F430" s="372"/>
    </row>
    <row r="431" spans="1:6" x14ac:dyDescent="0.3">
      <c r="A431" s="389" t="str">
        <f t="shared" si="9"/>
        <v xml:space="preserve">P330466 </v>
      </c>
      <c r="B431" s="447" t="s">
        <v>834</v>
      </c>
      <c r="C431" s="466">
        <v>8606</v>
      </c>
      <c r="D431" s="466"/>
      <c r="E431" s="466">
        <f>XledgerData[[#This Row],[Column1]]+XledgerData[[#This Row],[Year to date]]</f>
        <v>8606</v>
      </c>
      <c r="F431" s="372"/>
    </row>
    <row r="432" spans="1:6" x14ac:dyDescent="0.3">
      <c r="A432" s="512" t="str">
        <f t="shared" si="9"/>
        <v xml:space="preserve">P330468 </v>
      </c>
      <c r="B432" s="447" t="s">
        <v>1462</v>
      </c>
      <c r="C432" s="466">
        <v>8750</v>
      </c>
      <c r="D432" s="466"/>
      <c r="E432" s="466">
        <f>XledgerData[[#This Row],[Column1]]+XledgerData[[#This Row],[Year to date]]</f>
        <v>8750</v>
      </c>
      <c r="F432" s="372"/>
    </row>
    <row r="433" spans="1:6" x14ac:dyDescent="0.3">
      <c r="A433" s="512" t="str">
        <f t="shared" si="9"/>
        <v xml:space="preserve">P330469 </v>
      </c>
      <c r="B433" s="447" t="s">
        <v>836</v>
      </c>
      <c r="C433" s="466">
        <v>6788</v>
      </c>
      <c r="D433" s="466">
        <v>200</v>
      </c>
      <c r="E433" s="466">
        <f>XledgerData[[#This Row],[Column1]]+XledgerData[[#This Row],[Year to date]]</f>
        <v>6988</v>
      </c>
      <c r="F433" s="372"/>
    </row>
    <row r="434" spans="1:6" s="46" customFormat="1" x14ac:dyDescent="0.3">
      <c r="A434" s="512" t="str">
        <f t="shared" si="9"/>
        <v xml:space="preserve">P330472 </v>
      </c>
      <c r="B434" s="447" t="s">
        <v>1516</v>
      </c>
      <c r="C434" s="466">
        <v>9075</v>
      </c>
      <c r="D434" s="466"/>
      <c r="E434" s="466">
        <f>XledgerData[[#This Row],[Column1]]+XledgerData[[#This Row],[Year to date]]</f>
        <v>9075</v>
      </c>
      <c r="F434" s="372"/>
    </row>
    <row r="435" spans="1:6" x14ac:dyDescent="0.3">
      <c r="A435" s="389" t="str">
        <f t="shared" si="9"/>
        <v xml:space="preserve">P330474 </v>
      </c>
      <c r="B435" s="447" t="s">
        <v>838</v>
      </c>
      <c r="C435" s="466">
        <v>5205</v>
      </c>
      <c r="D435" s="466"/>
      <c r="E435" s="466">
        <f>XledgerData[[#This Row],[Column1]]+XledgerData[[#This Row],[Year to date]]</f>
        <v>5205</v>
      </c>
    </row>
    <row r="436" spans="1:6" x14ac:dyDescent="0.3">
      <c r="A436" s="389" t="str">
        <f t="shared" si="9"/>
        <v xml:space="preserve">P330478 </v>
      </c>
      <c r="B436" s="447" t="s">
        <v>840</v>
      </c>
      <c r="C436" s="466">
        <v>40733</v>
      </c>
      <c r="D436" s="466">
        <v>3704</v>
      </c>
      <c r="E436" s="466">
        <f>XledgerData[[#This Row],[Column1]]+XledgerData[[#This Row],[Year to date]]</f>
        <v>44437</v>
      </c>
      <c r="F436" s="374"/>
    </row>
    <row r="437" spans="1:6" x14ac:dyDescent="0.3">
      <c r="A437" s="512" t="str">
        <f t="shared" si="9"/>
        <v xml:space="preserve">P330480 </v>
      </c>
      <c r="B437" s="447" t="s">
        <v>1465</v>
      </c>
      <c r="C437" s="466">
        <v>12549</v>
      </c>
      <c r="D437" s="466"/>
      <c r="E437" s="466">
        <f>XledgerData[[#This Row],[Column1]]+XledgerData[[#This Row],[Year to date]]</f>
        <v>12549</v>
      </c>
    </row>
    <row r="438" spans="1:6" x14ac:dyDescent="0.3">
      <c r="A438" s="470" t="str">
        <f t="shared" si="9"/>
        <v xml:space="preserve">P330483 </v>
      </c>
      <c r="B438" s="471" t="s">
        <v>841</v>
      </c>
      <c r="C438" s="472">
        <v>2229</v>
      </c>
      <c r="D438" s="472"/>
      <c r="E438" s="472">
        <f>XledgerData[[#This Row],[Column1]]+XledgerData[[#This Row],[Year to date]]</f>
        <v>2229</v>
      </c>
    </row>
    <row r="439" spans="1:6" x14ac:dyDescent="0.3">
      <c r="A439" s="389" t="str">
        <f t="shared" si="9"/>
        <v xml:space="preserve">P330485 </v>
      </c>
      <c r="B439" s="447" t="s">
        <v>843</v>
      </c>
      <c r="C439" s="466">
        <v>12048</v>
      </c>
      <c r="D439" s="466"/>
      <c r="E439" s="466">
        <f>XledgerData[[#This Row],[Column1]]+XledgerData[[#This Row],[Year to date]]</f>
        <v>12048</v>
      </c>
    </row>
    <row r="440" spans="1:6" x14ac:dyDescent="0.3">
      <c r="A440" s="389" t="str">
        <f t="shared" si="9"/>
        <v xml:space="preserve">P330486 </v>
      </c>
      <c r="B440" s="528" t="s">
        <v>1466</v>
      </c>
      <c r="C440" s="466">
        <v>10416</v>
      </c>
      <c r="D440" s="466"/>
      <c r="E440" s="466">
        <f>XledgerData[[#This Row],[Column1]]+XledgerData[[#This Row],[Year to date]]</f>
        <v>10416</v>
      </c>
    </row>
    <row r="441" spans="1:6" x14ac:dyDescent="0.3">
      <c r="A441" s="371" t="str">
        <f t="shared" si="9"/>
        <v xml:space="preserve">P330490 </v>
      </c>
      <c r="B441" s="527" t="s">
        <v>1601</v>
      </c>
      <c r="C441" s="406">
        <v>4000</v>
      </c>
      <c r="D441" s="406">
        <v>3000</v>
      </c>
      <c r="E441" s="406">
        <f>XledgerData[[#This Row],[Column1]]+XledgerData[[#This Row],[Year to date]]</f>
        <v>7000</v>
      </c>
    </row>
    <row r="443" spans="1:6" x14ac:dyDescent="0.3">
      <c r="C443" s="353">
        <f>SUM(C2:C442)</f>
        <v>6106798.3000000007</v>
      </c>
      <c r="D443" s="370">
        <f>SUM(D2:D442)</f>
        <v>233374.11</v>
      </c>
      <c r="E443" s="44">
        <f>C443+D443</f>
        <v>6340172.4100000011</v>
      </c>
    </row>
    <row r="445" spans="1:6" x14ac:dyDescent="0.3">
      <c r="C445" s="353">
        <f>Summary!E37</f>
        <v>3006827.12</v>
      </c>
      <c r="D445" s="44"/>
    </row>
    <row r="447" spans="1:6" x14ac:dyDescent="0.3">
      <c r="C447" s="353">
        <f>C443-C445</f>
        <v>3099971.1800000006</v>
      </c>
    </row>
    <row r="463" spans="3:3" x14ac:dyDescent="0.3">
      <c r="C463" s="378"/>
    </row>
  </sheetData>
  <sortState xmlns:xlrd2="http://schemas.microsoft.com/office/spreadsheetml/2017/richdata2" ref="J304:K313">
    <sortCondition ref="J304:J313"/>
  </sortState>
  <pageMargins left="0.31496062992125984" right="0.31496062992125984" top="0.35433070866141736" bottom="0.35433070866141736" header="0.31496062992125984" footer="0.31496062992125984"/>
  <pageSetup paperSize="9" scale="23" fitToHeight="2" orientation="portrait" horizontalDpi="4294967293" verticalDpi="4294967293" r:id="rId1"/>
  <legacy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8"/>
  <sheetViews>
    <sheetView topLeftCell="A4" zoomScaleNormal="100" workbookViewId="0">
      <selection activeCell="D4" sqref="D4:E4"/>
    </sheetView>
  </sheetViews>
  <sheetFormatPr defaultRowHeight="14" x14ac:dyDescent="0.3"/>
  <cols>
    <col min="1" max="1" width="9" style="24"/>
    <col min="2" max="2" width="10.5" style="24" bestFit="1" customWidth="1"/>
    <col min="3" max="3" width="37.33203125" bestFit="1" customWidth="1"/>
    <col min="4" max="6" width="12" bestFit="1" customWidth="1"/>
    <col min="7" max="7" width="12.5" style="8" bestFit="1" customWidth="1"/>
    <col min="8" max="10" width="9" hidden="1" customWidth="1"/>
    <col min="11" max="11" width="20.33203125" hidden="1" customWidth="1"/>
    <col min="12" max="12" width="9" hidden="1" customWidth="1"/>
    <col min="13" max="13" width="1.83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COUNTIF(H8:H55,"&gt;1")</f>
        <v>0</v>
      </c>
    </row>
    <row r="4" spans="2:16" s="3" customFormat="1" ht="18" thickBot="1" x14ac:dyDescent="0.4">
      <c r="B4" s="120"/>
      <c r="C4" s="102" t="s">
        <v>401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COUNTIF(H8:H55,1)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COUNTIFS(H8:H55,"&gt;="&amp;Target,H8:H55,"&lt;"&amp;1)</f>
        <v>0</v>
      </c>
    </row>
    <row r="6" spans="2:16" s="3" customFormat="1" ht="14.5" thickBot="1" x14ac:dyDescent="0.35">
      <c r="B6" s="141" t="s">
        <v>611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1207</v>
      </c>
      <c r="C8" s="233" t="s">
        <v>402</v>
      </c>
      <c r="D8" s="114">
        <f>[4]Samford!E8</f>
        <v>18123</v>
      </c>
      <c r="E8" s="114">
        <f>[5]Samford!D8</f>
        <v>10500</v>
      </c>
      <c r="F8" s="114">
        <f t="shared" ref="F8:F9" si="0">D8-E8</f>
        <v>7623</v>
      </c>
      <c r="G8" s="243">
        <f t="shared" ref="G8:G9" si="1">ROUND((E8/D8),4)</f>
        <v>0.57940000000000003</v>
      </c>
      <c r="H8" s="16"/>
      <c r="J8" s="13"/>
      <c r="K8" s="13"/>
      <c r="L8" s="20">
        <f>SUM(L3:L7)</f>
        <v>4</v>
      </c>
      <c r="N8" s="4" t="s">
        <v>1381</v>
      </c>
    </row>
    <row r="9" spans="2:16" s="4" customFormat="1" x14ac:dyDescent="0.3">
      <c r="B9" s="238" t="s">
        <v>1208</v>
      </c>
      <c r="C9" s="247" t="s">
        <v>403</v>
      </c>
      <c r="D9" s="114">
        <f>[4]Samford!E9</f>
        <v>4320</v>
      </c>
      <c r="E9" s="114">
        <f>[5]Samford!D9</f>
        <v>2000</v>
      </c>
      <c r="F9" s="145">
        <f t="shared" si="0"/>
        <v>2320</v>
      </c>
      <c r="G9" s="243">
        <f t="shared" si="1"/>
        <v>0.46300000000000002</v>
      </c>
      <c r="H9" s="16"/>
      <c r="J9" s="13"/>
      <c r="N9" s="4" t="s">
        <v>1377</v>
      </c>
      <c r="O9" s="4" t="s">
        <v>1378</v>
      </c>
    </row>
    <row r="10" spans="2:16" s="3" customFormat="1" ht="14.5" thickBot="1" x14ac:dyDescent="0.35">
      <c r="B10" s="222" t="s">
        <v>1209</v>
      </c>
      <c r="C10" s="226" t="s">
        <v>404</v>
      </c>
      <c r="D10" s="109">
        <f>SUM(D8:D9)</f>
        <v>22443</v>
      </c>
      <c r="E10" s="109">
        <f>SUM(E8:E9)</f>
        <v>12500</v>
      </c>
      <c r="F10" s="109">
        <f t="shared" ref="F10:F37" si="2">D10-E10</f>
        <v>9943</v>
      </c>
      <c r="G10" s="229">
        <f t="shared" ref="G10:G37" si="3">ROUND((E10/D10),4)</f>
        <v>0.55700000000000005</v>
      </c>
      <c r="H10" s="14">
        <f t="shared" ref="H10:H35" si="4">G10</f>
        <v>0.55700000000000005</v>
      </c>
      <c r="K10" s="13"/>
      <c r="L10" s="13"/>
    </row>
    <row r="11" spans="2:16" s="4" customFormat="1" ht="14.25" customHeight="1" x14ac:dyDescent="0.3">
      <c r="B11" s="244"/>
      <c r="C11" s="240"/>
      <c r="D11" s="245"/>
      <c r="E11" s="245"/>
      <c r="F11" s="245"/>
      <c r="G11" s="246"/>
      <c r="H11" s="16"/>
    </row>
    <row r="12" spans="2:16" s="4" customFormat="1" x14ac:dyDescent="0.3">
      <c r="B12" s="238" t="s">
        <v>1210</v>
      </c>
      <c r="C12" s="233" t="s">
        <v>405</v>
      </c>
      <c r="D12" s="114">
        <f>[4]Samford!E13</f>
        <v>26336</v>
      </c>
      <c r="E12" s="114">
        <f>[5]Samford!$D$12</f>
        <v>13164</v>
      </c>
      <c r="F12" s="114">
        <f t="shared" si="2"/>
        <v>13172</v>
      </c>
      <c r="G12" s="243">
        <f t="shared" si="3"/>
        <v>0.49980000000000002</v>
      </c>
      <c r="H12" s="16"/>
      <c r="N12" s="4" t="s">
        <v>1377</v>
      </c>
      <c r="O12" s="4" t="s">
        <v>1378</v>
      </c>
      <c r="P12" s="4" t="s">
        <v>1379</v>
      </c>
    </row>
    <row r="13" spans="2:16" s="4" customFormat="1" x14ac:dyDescent="0.3">
      <c r="B13" s="238" t="s">
        <v>1211</v>
      </c>
      <c r="C13" s="247" t="s">
        <v>406</v>
      </c>
      <c r="D13" s="114">
        <f>[4]Samford!E14</f>
        <v>52671</v>
      </c>
      <c r="E13" s="114">
        <f>[5]Samford!$D$13</f>
        <v>10000</v>
      </c>
      <c r="F13" s="145">
        <f t="shared" si="2"/>
        <v>42671</v>
      </c>
      <c r="G13" s="188">
        <f t="shared" si="3"/>
        <v>0.18990000000000001</v>
      </c>
      <c r="H13" s="16"/>
      <c r="N13" s="4" t="s">
        <v>1377</v>
      </c>
      <c r="O13" s="4" t="s">
        <v>1378</v>
      </c>
      <c r="P13" s="4" t="s">
        <v>1379</v>
      </c>
    </row>
    <row r="14" spans="2:16" s="3" customFormat="1" ht="14.5" thickBot="1" x14ac:dyDescent="0.35">
      <c r="B14" s="222" t="s">
        <v>1212</v>
      </c>
      <c r="C14" s="226" t="s">
        <v>407</v>
      </c>
      <c r="D14" s="109">
        <f>SUM(D12:D13)</f>
        <v>79007</v>
      </c>
      <c r="E14" s="109">
        <f>SUM(E12:E13)</f>
        <v>23164</v>
      </c>
      <c r="F14" s="109">
        <f t="shared" si="2"/>
        <v>55843</v>
      </c>
      <c r="G14" s="229">
        <f t="shared" si="3"/>
        <v>0.29320000000000002</v>
      </c>
      <c r="H14" s="14">
        <f t="shared" si="4"/>
        <v>0.29320000000000002</v>
      </c>
    </row>
    <row r="15" spans="2:16" s="4" customFormat="1" x14ac:dyDescent="0.3">
      <c r="B15" s="244"/>
      <c r="C15" s="240"/>
      <c r="D15" s="245"/>
      <c r="E15" s="245"/>
      <c r="F15" s="245"/>
      <c r="G15" s="246"/>
      <c r="H15" s="16"/>
    </row>
    <row r="16" spans="2:16" s="4" customFormat="1" x14ac:dyDescent="0.3">
      <c r="B16" s="238" t="s">
        <v>1213</v>
      </c>
      <c r="C16" s="233" t="s">
        <v>408</v>
      </c>
      <c r="D16" s="114">
        <f>[4]Samford!E17</f>
        <v>6292</v>
      </c>
      <c r="E16" s="114">
        <f>[5]Samford!D16</f>
        <v>1000</v>
      </c>
      <c r="F16" s="114">
        <f t="shared" si="2"/>
        <v>5292</v>
      </c>
      <c r="G16" s="243">
        <f t="shared" si="3"/>
        <v>0.15890000000000001</v>
      </c>
      <c r="H16" s="16"/>
      <c r="N16" s="4" t="s">
        <v>1377</v>
      </c>
      <c r="O16" s="4" t="s">
        <v>1378</v>
      </c>
    </row>
    <row r="17" spans="2:16" s="4" customFormat="1" x14ac:dyDescent="0.3">
      <c r="B17" s="238" t="s">
        <v>1214</v>
      </c>
      <c r="C17" s="233" t="s">
        <v>409</v>
      </c>
      <c r="D17" s="114">
        <f>[4]Samford!E18</f>
        <v>9817</v>
      </c>
      <c r="E17" s="114">
        <f>[5]Samford!D17</f>
        <v>2636</v>
      </c>
      <c r="F17" s="114">
        <f t="shared" si="2"/>
        <v>7181</v>
      </c>
      <c r="G17" s="243">
        <f t="shared" si="3"/>
        <v>0.26850000000000002</v>
      </c>
      <c r="H17" s="16"/>
      <c r="N17" s="4" t="s">
        <v>1377</v>
      </c>
      <c r="O17" s="4" t="s">
        <v>1378</v>
      </c>
    </row>
    <row r="18" spans="2:16" s="4" customFormat="1" x14ac:dyDescent="0.3">
      <c r="B18" s="238" t="s">
        <v>1215</v>
      </c>
      <c r="C18" s="233" t="s">
        <v>410</v>
      </c>
      <c r="D18" s="114">
        <f>[4]Samford!E19</f>
        <v>9137</v>
      </c>
      <c r="E18" s="114">
        <f>[5]Samford!D18</f>
        <v>2000</v>
      </c>
      <c r="F18" s="114">
        <f t="shared" si="2"/>
        <v>7137</v>
      </c>
      <c r="G18" s="243">
        <f t="shared" si="3"/>
        <v>0.21890000000000001</v>
      </c>
      <c r="H18" s="16"/>
      <c r="N18" s="4" t="s">
        <v>1377</v>
      </c>
      <c r="O18" s="4" t="s">
        <v>1378</v>
      </c>
    </row>
    <row r="19" spans="2:16" s="4" customFormat="1" x14ac:dyDescent="0.3">
      <c r="B19" s="238" t="s">
        <v>1216</v>
      </c>
      <c r="C19" s="233" t="s">
        <v>411</v>
      </c>
      <c r="D19" s="114">
        <f>[4]Samford!E20</f>
        <v>16758</v>
      </c>
      <c r="E19" s="114">
        <f>[5]Samford!D19</f>
        <v>6000</v>
      </c>
      <c r="F19" s="114">
        <f t="shared" si="2"/>
        <v>10758</v>
      </c>
      <c r="G19" s="243">
        <f t="shared" si="3"/>
        <v>0.35799999999999998</v>
      </c>
      <c r="H19" s="16"/>
      <c r="N19" s="4" t="s">
        <v>1377</v>
      </c>
      <c r="O19" s="4" t="s">
        <v>1378</v>
      </c>
    </row>
    <row r="20" spans="2:16" s="4" customFormat="1" x14ac:dyDescent="0.3">
      <c r="B20" s="238" t="s">
        <v>1217</v>
      </c>
      <c r="C20" s="233" t="s">
        <v>412</v>
      </c>
      <c r="D20" s="114">
        <f>[4]Samford!E21</f>
        <v>18320</v>
      </c>
      <c r="E20" s="114">
        <f>[5]Samford!D20</f>
        <v>6000</v>
      </c>
      <c r="F20" s="114">
        <f t="shared" si="2"/>
        <v>12320</v>
      </c>
      <c r="G20" s="243">
        <f t="shared" si="3"/>
        <v>0.32750000000000001</v>
      </c>
      <c r="H20" s="16"/>
      <c r="N20" s="4" t="s">
        <v>1377</v>
      </c>
      <c r="O20" s="4" t="s">
        <v>1378</v>
      </c>
      <c r="P20" s="4" t="s">
        <v>1380</v>
      </c>
    </row>
    <row r="21" spans="2:16" s="4" customFormat="1" x14ac:dyDescent="0.3">
      <c r="B21" s="238" t="s">
        <v>1218</v>
      </c>
      <c r="C21" s="247" t="s">
        <v>413</v>
      </c>
      <c r="D21" s="114">
        <f>[4]Samford!E22</f>
        <v>9927</v>
      </c>
      <c r="E21" s="114">
        <f>[5]Samford!D21</f>
        <v>5800</v>
      </c>
      <c r="F21" s="145">
        <f t="shared" si="2"/>
        <v>4127</v>
      </c>
      <c r="G21" s="243">
        <f t="shared" si="3"/>
        <v>0.58430000000000004</v>
      </c>
      <c r="H21" s="16"/>
      <c r="N21" s="4" t="s">
        <v>1377</v>
      </c>
      <c r="O21" s="4" t="s">
        <v>1378</v>
      </c>
    </row>
    <row r="22" spans="2:16" s="3" customFormat="1" ht="14.5" thickBot="1" x14ac:dyDescent="0.35">
      <c r="B22" s="222" t="s">
        <v>1219</v>
      </c>
      <c r="C22" s="226" t="s">
        <v>414</v>
      </c>
      <c r="D22" s="109">
        <f>SUM(D16:D21)</f>
        <v>70251</v>
      </c>
      <c r="E22" s="109">
        <f>SUM(E16:E21)</f>
        <v>23436</v>
      </c>
      <c r="F22" s="109">
        <f t="shared" si="2"/>
        <v>46815</v>
      </c>
      <c r="G22" s="229">
        <f t="shared" si="3"/>
        <v>0.33360000000000001</v>
      </c>
      <c r="H22" s="14">
        <f t="shared" si="4"/>
        <v>0.33360000000000001</v>
      </c>
    </row>
    <row r="23" spans="2:16" s="4" customFormat="1" x14ac:dyDescent="0.3">
      <c r="B23" s="244"/>
      <c r="C23" s="240"/>
      <c r="D23" s="245"/>
      <c r="E23" s="245"/>
      <c r="F23" s="245"/>
      <c r="G23" s="246"/>
      <c r="H23" s="16"/>
    </row>
    <row r="24" spans="2:16" s="4" customFormat="1" x14ac:dyDescent="0.3">
      <c r="B24" s="238" t="s">
        <v>1220</v>
      </c>
      <c r="C24" s="233" t="s">
        <v>415</v>
      </c>
      <c r="D24" s="114">
        <f>[4]Samford!E25</f>
        <v>23521</v>
      </c>
      <c r="E24" s="114">
        <f>[5]Samford!D24</f>
        <v>4900</v>
      </c>
      <c r="F24" s="114">
        <f t="shared" si="2"/>
        <v>18621</v>
      </c>
      <c r="G24" s="243">
        <f t="shared" si="3"/>
        <v>0.20830000000000001</v>
      </c>
      <c r="H24" s="16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1221</v>
      </c>
      <c r="C25" s="233" t="s">
        <v>416</v>
      </c>
      <c r="D25" s="114">
        <f>[4]Samford!E26</f>
        <v>10732</v>
      </c>
      <c r="E25" s="114">
        <f>[5]Samford!D25</f>
        <v>2400</v>
      </c>
      <c r="F25" s="114">
        <f t="shared" si="2"/>
        <v>8332</v>
      </c>
      <c r="G25" s="243">
        <f t="shared" si="3"/>
        <v>0.22359999999999999</v>
      </c>
      <c r="H25" s="16"/>
      <c r="N25" s="4" t="s">
        <v>1377</v>
      </c>
      <c r="O25" s="4" t="s">
        <v>1378</v>
      </c>
      <c r="P25" s="4" t="s">
        <v>1379</v>
      </c>
    </row>
    <row r="26" spans="2:16" s="4" customFormat="1" x14ac:dyDescent="0.3">
      <c r="B26" s="238" t="s">
        <v>1229</v>
      </c>
      <c r="C26" s="233" t="s">
        <v>417</v>
      </c>
      <c r="D26" s="114">
        <f>[4]Samford!E27</f>
        <v>17094</v>
      </c>
      <c r="E26" s="114">
        <f>[5]Samford!D26</f>
        <v>9974</v>
      </c>
      <c r="F26" s="114">
        <f t="shared" si="2"/>
        <v>7120</v>
      </c>
      <c r="G26" s="243">
        <f t="shared" si="3"/>
        <v>0.58350000000000002</v>
      </c>
      <c r="H26" s="16"/>
      <c r="N26" s="4" t="s">
        <v>1381</v>
      </c>
      <c r="O26" s="4" t="s">
        <v>1378</v>
      </c>
      <c r="P26" s="4" t="s">
        <v>1383</v>
      </c>
    </row>
    <row r="27" spans="2:16" s="4" customFormat="1" x14ac:dyDescent="0.3">
      <c r="B27" s="238" t="s">
        <v>1222</v>
      </c>
      <c r="C27" s="233" t="s">
        <v>418</v>
      </c>
      <c r="D27" s="114">
        <f>[4]Samford!E28</f>
        <v>17777</v>
      </c>
      <c r="E27" s="114">
        <f>[5]Samford!D27</f>
        <v>3600</v>
      </c>
      <c r="F27" s="114">
        <f t="shared" si="2"/>
        <v>14177</v>
      </c>
      <c r="G27" s="188">
        <f t="shared" si="3"/>
        <v>0.20250000000000001</v>
      </c>
      <c r="H27" s="16"/>
      <c r="N27" s="4" t="s">
        <v>1381</v>
      </c>
      <c r="O27" s="4" t="s">
        <v>1382</v>
      </c>
      <c r="P27" s="4" t="s">
        <v>1379</v>
      </c>
    </row>
    <row r="28" spans="2:16" s="3" customFormat="1" ht="14.5" thickBot="1" x14ac:dyDescent="0.35">
      <c r="B28" s="222"/>
      <c r="C28" s="226" t="s">
        <v>419</v>
      </c>
      <c r="D28" s="109">
        <f>SUM(D24:D27)</f>
        <v>69124</v>
      </c>
      <c r="E28" s="109">
        <f>SUM(E24:E27)</f>
        <v>20874</v>
      </c>
      <c r="F28" s="109">
        <f t="shared" si="2"/>
        <v>48250</v>
      </c>
      <c r="G28" s="229">
        <f t="shared" si="3"/>
        <v>0.30199999999999999</v>
      </c>
      <c r="H28" s="14">
        <f t="shared" si="4"/>
        <v>0.30199999999999999</v>
      </c>
    </row>
    <row r="29" spans="2:16" s="4" customFormat="1" ht="14.25" customHeight="1" x14ac:dyDescent="0.3">
      <c r="B29" s="244"/>
      <c r="C29" s="240"/>
      <c r="D29" s="245"/>
      <c r="E29" s="245"/>
      <c r="F29" s="245"/>
      <c r="G29" s="246"/>
      <c r="H29" s="16"/>
    </row>
    <row r="30" spans="2:16" s="4" customFormat="1" x14ac:dyDescent="0.3">
      <c r="B30" s="238" t="s">
        <v>1223</v>
      </c>
      <c r="C30" s="233" t="s">
        <v>420</v>
      </c>
      <c r="D30" s="114">
        <f>[4]Samford!E32</f>
        <v>5098</v>
      </c>
      <c r="E30" s="114">
        <f>[5]Samford!D31</f>
        <v>2966.67</v>
      </c>
      <c r="F30" s="114">
        <f t="shared" si="2"/>
        <v>2131.33</v>
      </c>
      <c r="G30" s="243">
        <f t="shared" si="3"/>
        <v>0.58189999999999997</v>
      </c>
      <c r="H30" s="16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1224</v>
      </c>
      <c r="C31" s="233" t="s">
        <v>421</v>
      </c>
      <c r="D31" s="114">
        <f>[4]Samford!E33</f>
        <v>23219</v>
      </c>
      <c r="E31" s="114">
        <f>[5]Samford!D32</f>
        <v>4000</v>
      </c>
      <c r="F31" s="114">
        <f t="shared" si="2"/>
        <v>19219</v>
      </c>
      <c r="G31" s="243">
        <f t="shared" si="3"/>
        <v>0.17230000000000001</v>
      </c>
      <c r="H31" s="16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1225</v>
      </c>
      <c r="C32" s="233" t="s">
        <v>422</v>
      </c>
      <c r="D32" s="114">
        <f>[4]Samford!E34</f>
        <v>21022</v>
      </c>
      <c r="E32" s="114">
        <f>[5]Samford!D33</f>
        <v>10000</v>
      </c>
      <c r="F32" s="114">
        <f t="shared" si="2"/>
        <v>11022</v>
      </c>
      <c r="G32" s="243">
        <f t="shared" si="3"/>
        <v>0.47570000000000001</v>
      </c>
      <c r="H32" s="16"/>
      <c r="N32" s="4" t="s">
        <v>1377</v>
      </c>
      <c r="O32" s="4" t="s">
        <v>1378</v>
      </c>
    </row>
    <row r="33" spans="2:16" s="4" customFormat="1" x14ac:dyDescent="0.3">
      <c r="B33" s="238" t="s">
        <v>1226</v>
      </c>
      <c r="C33" s="233" t="s">
        <v>423</v>
      </c>
      <c r="D33" s="114">
        <f>[4]Samford!E35</f>
        <v>8322</v>
      </c>
      <c r="E33" s="114">
        <f>[5]Samford!D34</f>
        <v>4992.2</v>
      </c>
      <c r="F33" s="114">
        <f t="shared" si="2"/>
        <v>3329.8</v>
      </c>
      <c r="G33" s="243">
        <f t="shared" si="3"/>
        <v>0.59989999999999999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1227</v>
      </c>
      <c r="C34" s="247" t="s">
        <v>424</v>
      </c>
      <c r="D34" s="114">
        <f>[4]Samford!E36</f>
        <v>8795</v>
      </c>
      <c r="E34" s="114">
        <f>[5]Samford!D35</f>
        <v>0</v>
      </c>
      <c r="F34" s="145">
        <f t="shared" si="2"/>
        <v>8795</v>
      </c>
      <c r="G34" s="188">
        <f t="shared" si="3"/>
        <v>0</v>
      </c>
      <c r="H34" s="16"/>
      <c r="N34" s="4" t="s">
        <v>1377</v>
      </c>
      <c r="O34" s="4" t="s">
        <v>1378</v>
      </c>
      <c r="P34" s="4" t="s">
        <v>1380</v>
      </c>
    </row>
    <row r="35" spans="2:16" s="3" customFormat="1" ht="14.5" thickBot="1" x14ac:dyDescent="0.35">
      <c r="B35" s="222" t="s">
        <v>1228</v>
      </c>
      <c r="C35" s="226" t="s">
        <v>425</v>
      </c>
      <c r="D35" s="109">
        <f>SUM(D30:D34)</f>
        <v>66456</v>
      </c>
      <c r="E35" s="109">
        <f>SUM(E30:E34)</f>
        <v>21958.87</v>
      </c>
      <c r="F35" s="109">
        <f t="shared" si="2"/>
        <v>44497.130000000005</v>
      </c>
      <c r="G35" s="229">
        <f t="shared" si="3"/>
        <v>0.33040000000000003</v>
      </c>
      <c r="H35" s="14">
        <f t="shared" si="4"/>
        <v>0.33040000000000003</v>
      </c>
    </row>
    <row r="36" spans="2:16" s="4" customFormat="1" x14ac:dyDescent="0.3">
      <c r="B36" s="238"/>
      <c r="C36" s="233"/>
      <c r="D36" s="114"/>
      <c r="E36" s="114"/>
      <c r="F36" s="114"/>
      <c r="G36" s="241"/>
    </row>
    <row r="37" spans="2:16" s="3" customFormat="1" ht="14.5" thickBot="1" x14ac:dyDescent="0.35">
      <c r="B37" s="222"/>
      <c r="C37" s="226" t="s">
        <v>58</v>
      </c>
      <c r="D37" s="109">
        <f>SUM(D10,D14,D22,D28,D35)</f>
        <v>307281</v>
      </c>
      <c r="E37" s="109">
        <f>SUM(E10,E14,E22,E28,E35)</f>
        <v>101932.87</v>
      </c>
      <c r="F37" s="109">
        <f t="shared" si="2"/>
        <v>205348.13</v>
      </c>
      <c r="G37" s="282">
        <f t="shared" si="3"/>
        <v>0.33169999999999999</v>
      </c>
    </row>
    <row r="38" spans="2:16" s="4" customFormat="1" ht="14.25" customHeight="1" x14ac:dyDescent="0.3">
      <c r="B38" s="238"/>
      <c r="C38" s="233"/>
      <c r="D38" s="114"/>
      <c r="E38" s="114"/>
      <c r="F38" s="114"/>
      <c r="G38" s="243"/>
    </row>
    <row r="39" spans="2:16" s="4" customFormat="1" ht="14.5" thickBot="1" x14ac:dyDescent="0.35">
      <c r="B39" s="222"/>
      <c r="C39" s="226" t="s">
        <v>1630</v>
      </c>
      <c r="D39" s="109">
        <f>[7]Samford!$D$39</f>
        <v>297132</v>
      </c>
      <c r="E39" s="109">
        <v>126602</v>
      </c>
      <c r="F39" s="109">
        <f>D39-E39</f>
        <v>170530</v>
      </c>
      <c r="G39" s="282">
        <f>E39/D39</f>
        <v>0.42607999138430058</v>
      </c>
    </row>
    <row r="40" spans="2:16" s="4" customFormat="1" x14ac:dyDescent="0.3">
      <c r="B40" s="321"/>
      <c r="C40" s="321"/>
      <c r="D40" s="322"/>
      <c r="E40" s="322"/>
      <c r="F40" s="322"/>
      <c r="G40" s="323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G42" s="9"/>
    </row>
    <row r="43" spans="2:16" s="4" customFormat="1" x14ac:dyDescent="0.3"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1"/>
  <sheetViews>
    <sheetView topLeftCell="A34" zoomScaleNormal="100" workbookViewId="0">
      <selection activeCell="E50" sqref="E50"/>
    </sheetView>
  </sheetViews>
  <sheetFormatPr defaultRowHeight="14" x14ac:dyDescent="0.3"/>
  <cols>
    <col min="1" max="1" width="9" style="24"/>
    <col min="2" max="2" width="10.83203125" style="24" bestFit="1" customWidth="1"/>
    <col min="3" max="3" width="43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COUNTIF(H8:H58,"&gt;1")</f>
        <v>0</v>
      </c>
    </row>
    <row r="4" spans="2:16" s="3" customFormat="1" ht="23" thickBot="1" x14ac:dyDescent="0.5">
      <c r="B4" s="120"/>
      <c r="C4" s="101" t="s">
        <v>426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COUNTIF(H8:H58,1)</f>
        <v>0</v>
      </c>
    </row>
    <row r="5" spans="2:16" ht="14.5" thickBot="1" x14ac:dyDescent="0.35">
      <c r="B5" s="159"/>
      <c r="C5" s="18"/>
      <c r="D5" s="18"/>
      <c r="E5" s="18"/>
      <c r="F5" s="18"/>
      <c r="G5" s="157"/>
      <c r="J5" s="3"/>
      <c r="K5" s="24" t="s">
        <v>1551</v>
      </c>
      <c r="L5" s="13">
        <v>1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27"/>
      <c r="C7" s="100"/>
      <c r="D7" s="100"/>
      <c r="E7" s="100"/>
      <c r="F7" s="100"/>
      <c r="G7" s="135"/>
      <c r="J7" s="13"/>
      <c r="K7" s="24" t="s">
        <v>557</v>
      </c>
      <c r="L7" s="13">
        <v>0</v>
      </c>
    </row>
    <row r="8" spans="2:16" s="4" customFormat="1" x14ac:dyDescent="0.3">
      <c r="B8" s="238" t="s">
        <v>1230</v>
      </c>
      <c r="C8" s="233" t="s">
        <v>427</v>
      </c>
      <c r="D8" s="114">
        <f>[4]Saxmundham!E8</f>
        <v>12521</v>
      </c>
      <c r="E8" s="114">
        <f>[5]Saxmundham!D8</f>
        <v>8440</v>
      </c>
      <c r="F8" s="114">
        <f>D8-E8</f>
        <v>4081</v>
      </c>
      <c r="G8" s="243">
        <f>ROUND((E8/D8),4)</f>
        <v>0.67410000000000003</v>
      </c>
      <c r="H8" s="16"/>
      <c r="J8" s="13"/>
      <c r="K8" s="13"/>
      <c r="L8" s="13">
        <f>SUM(L3:L7)</f>
        <v>5</v>
      </c>
      <c r="N8" s="4" t="s">
        <v>1381</v>
      </c>
      <c r="O8" s="4" t="s">
        <v>1382</v>
      </c>
      <c r="P8" s="4" t="s">
        <v>1379</v>
      </c>
    </row>
    <row r="9" spans="2:16" s="4" customFormat="1" x14ac:dyDescent="0.3">
      <c r="B9" s="238" t="s">
        <v>1231</v>
      </c>
      <c r="C9" s="233" t="s">
        <v>428</v>
      </c>
      <c r="D9" s="114">
        <f>[4]Saxmundham!E9</f>
        <v>9118</v>
      </c>
      <c r="E9" s="114">
        <f>[5]Saxmundham!D9</f>
        <v>5000</v>
      </c>
      <c r="F9" s="114">
        <f t="shared" ref="F9:F39" si="0">D9-E9</f>
        <v>4118</v>
      </c>
      <c r="G9" s="243">
        <f t="shared" ref="G9:G39" si="1">ROUND((E9/D9),4)</f>
        <v>0.5484</v>
      </c>
      <c r="H9" s="16"/>
      <c r="J9" s="13"/>
      <c r="N9" s="4" t="s">
        <v>1377</v>
      </c>
      <c r="O9" s="4" t="s">
        <v>1378</v>
      </c>
      <c r="P9" s="4" t="s">
        <v>1383</v>
      </c>
    </row>
    <row r="10" spans="2:16" s="4" customFormat="1" x14ac:dyDescent="0.3">
      <c r="B10" s="238" t="s">
        <v>1232</v>
      </c>
      <c r="C10" s="233" t="s">
        <v>429</v>
      </c>
      <c r="D10" s="114">
        <f>[4]Saxmundham!E10</f>
        <v>7857</v>
      </c>
      <c r="E10" s="114">
        <f>[5]Saxmundham!D10</f>
        <v>1200</v>
      </c>
      <c r="F10" s="114">
        <f t="shared" si="0"/>
        <v>6657</v>
      </c>
      <c r="G10" s="243">
        <f t="shared" si="1"/>
        <v>0.1527</v>
      </c>
      <c r="H10" s="16"/>
      <c r="K10" s="13"/>
      <c r="L10" s="13"/>
      <c r="N10" s="4" t="s">
        <v>1381</v>
      </c>
      <c r="O10" s="4" t="s">
        <v>1382</v>
      </c>
      <c r="P10" s="4" t="s">
        <v>1379</v>
      </c>
    </row>
    <row r="11" spans="2:16" s="4" customFormat="1" x14ac:dyDescent="0.3">
      <c r="B11" s="238" t="s">
        <v>1233</v>
      </c>
      <c r="C11" s="233" t="s">
        <v>430</v>
      </c>
      <c r="D11" s="114">
        <f>[4]Saxmundham!E11</f>
        <v>7348</v>
      </c>
      <c r="E11" s="114">
        <f>[5]Saxmundham!D11</f>
        <v>2000</v>
      </c>
      <c r="F11" s="114">
        <f t="shared" si="0"/>
        <v>5348</v>
      </c>
      <c r="G11" s="243">
        <f t="shared" si="1"/>
        <v>0.2722</v>
      </c>
      <c r="H11" s="16"/>
      <c r="K11" s="13"/>
      <c r="L11" s="13"/>
      <c r="N11" s="4" t="s">
        <v>1377</v>
      </c>
      <c r="O11" s="4" t="s">
        <v>1378</v>
      </c>
      <c r="P11" s="4" t="s">
        <v>1383</v>
      </c>
    </row>
    <row r="12" spans="2:16" s="4" customFormat="1" x14ac:dyDescent="0.3">
      <c r="B12" s="238" t="s">
        <v>1234</v>
      </c>
      <c r="C12" s="233" t="s">
        <v>431</v>
      </c>
      <c r="D12" s="114">
        <f>[4]Saxmundham!E12</f>
        <v>5375</v>
      </c>
      <c r="E12" s="114">
        <f>[5]Saxmundham!D12</f>
        <v>0</v>
      </c>
      <c r="F12" s="114">
        <f t="shared" si="0"/>
        <v>5375</v>
      </c>
      <c r="G12" s="243">
        <f t="shared" si="1"/>
        <v>0</v>
      </c>
      <c r="H12" s="16"/>
      <c r="N12" s="4" t="s">
        <v>1377</v>
      </c>
      <c r="O12" s="4" t="s">
        <v>1378</v>
      </c>
      <c r="P12" s="4" t="s">
        <v>1383</v>
      </c>
    </row>
    <row r="13" spans="2:16" s="4" customFormat="1" x14ac:dyDescent="0.3">
      <c r="B13" s="238" t="s">
        <v>1235</v>
      </c>
      <c r="C13" s="233" t="s">
        <v>432</v>
      </c>
      <c r="D13" s="114">
        <f>[4]Saxmundham!E13</f>
        <v>13211</v>
      </c>
      <c r="E13" s="114">
        <f>[5]Saxmundham!D13</f>
        <v>4404</v>
      </c>
      <c r="F13" s="114">
        <f t="shared" si="0"/>
        <v>8807</v>
      </c>
      <c r="G13" s="243">
        <f t="shared" si="1"/>
        <v>0.33339999999999997</v>
      </c>
      <c r="H13" s="16"/>
      <c r="N13" s="4" t="s">
        <v>1377</v>
      </c>
      <c r="O13" s="4" t="s">
        <v>1378</v>
      </c>
      <c r="P13" s="4" t="s">
        <v>1383</v>
      </c>
    </row>
    <row r="14" spans="2:16" s="4" customFormat="1" x14ac:dyDescent="0.3">
      <c r="B14" s="238" t="s">
        <v>1236</v>
      </c>
      <c r="C14" s="233" t="s">
        <v>433</v>
      </c>
      <c r="D14" s="114">
        <f>[4]Saxmundham!E14</f>
        <v>5375</v>
      </c>
      <c r="E14" s="114">
        <f>[5]Saxmundham!D14</f>
        <v>1000</v>
      </c>
      <c r="F14" s="114">
        <f t="shared" si="0"/>
        <v>4375</v>
      </c>
      <c r="G14" s="243">
        <f t="shared" si="1"/>
        <v>0.186</v>
      </c>
      <c r="H14" s="16"/>
      <c r="N14" s="4" t="s">
        <v>1377</v>
      </c>
      <c r="O14" s="4" t="s">
        <v>1378</v>
      </c>
      <c r="P14" s="4" t="s">
        <v>1380</v>
      </c>
    </row>
    <row r="15" spans="2:16" s="4" customFormat="1" x14ac:dyDescent="0.3">
      <c r="B15" s="230" t="s">
        <v>1237</v>
      </c>
      <c r="C15" s="247" t="s">
        <v>434</v>
      </c>
      <c r="D15" s="114">
        <f>[4]Saxmundham!E15</f>
        <v>3500</v>
      </c>
      <c r="E15" s="114">
        <f>[5]Saxmundham!D15</f>
        <v>3500</v>
      </c>
      <c r="F15" s="145">
        <f t="shared" si="0"/>
        <v>0</v>
      </c>
      <c r="G15" s="243">
        <f t="shared" si="1"/>
        <v>1</v>
      </c>
      <c r="H15" s="16"/>
      <c r="N15" s="4" t="s">
        <v>1381</v>
      </c>
      <c r="O15" s="4" t="s">
        <v>1378</v>
      </c>
    </row>
    <row r="16" spans="2:16" s="3" customFormat="1" ht="14.5" thickBot="1" x14ac:dyDescent="0.35">
      <c r="B16" s="222"/>
      <c r="C16" s="226" t="s">
        <v>435</v>
      </c>
      <c r="D16" s="109">
        <f>SUM(D8:D15)</f>
        <v>64305</v>
      </c>
      <c r="E16" s="109">
        <f>SUM(E8:E15)</f>
        <v>25544</v>
      </c>
      <c r="F16" s="109">
        <f t="shared" si="0"/>
        <v>38761</v>
      </c>
      <c r="G16" s="229">
        <f t="shared" si="1"/>
        <v>0.3972</v>
      </c>
      <c r="H16" s="14">
        <f>G16</f>
        <v>0.3972</v>
      </c>
    </row>
    <row r="17" spans="2:16" s="4" customFormat="1" x14ac:dyDescent="0.3">
      <c r="B17" s="230"/>
      <c r="C17" s="247"/>
      <c r="D17" s="145"/>
      <c r="E17" s="145"/>
      <c r="F17" s="145"/>
      <c r="G17" s="241"/>
      <c r="H17" s="16"/>
    </row>
    <row r="18" spans="2:16" s="4" customFormat="1" x14ac:dyDescent="0.3">
      <c r="B18" s="238" t="s">
        <v>1238</v>
      </c>
      <c r="C18" s="233" t="s">
        <v>436</v>
      </c>
      <c r="D18" s="114">
        <f>[4]Saxmundham!E18</f>
        <v>52247</v>
      </c>
      <c r="E18" s="114">
        <f>[5]Saxmundham!D18</f>
        <v>30478</v>
      </c>
      <c r="F18" s="114">
        <f t="shared" si="0"/>
        <v>21769</v>
      </c>
      <c r="G18" s="243">
        <f t="shared" si="1"/>
        <v>0.58330000000000004</v>
      </c>
      <c r="H18" s="16"/>
      <c r="N18" s="4" t="s">
        <v>1381</v>
      </c>
      <c r="O18" s="4" t="s">
        <v>1378</v>
      </c>
      <c r="P18" s="4" t="s">
        <v>1379</v>
      </c>
    </row>
    <row r="19" spans="2:16" s="4" customFormat="1" x14ac:dyDescent="0.3">
      <c r="B19" s="238" t="s">
        <v>1239</v>
      </c>
      <c r="C19" s="233" t="s">
        <v>437</v>
      </c>
      <c r="D19" s="114">
        <f>[4]Saxmundham!E19</f>
        <v>19868</v>
      </c>
      <c r="E19" s="114">
        <f>[5]Saxmundham!D19</f>
        <v>14868</v>
      </c>
      <c r="F19" s="114">
        <f t="shared" si="0"/>
        <v>5000</v>
      </c>
      <c r="G19" s="243">
        <f t="shared" si="1"/>
        <v>0.74829999999999997</v>
      </c>
      <c r="H19" s="16"/>
      <c r="N19" s="4" t="s">
        <v>1381</v>
      </c>
      <c r="O19" s="4" t="s">
        <v>1378</v>
      </c>
    </row>
    <row r="20" spans="2:16" s="4" customFormat="1" x14ac:dyDescent="0.3">
      <c r="B20" s="238" t="s">
        <v>1240</v>
      </c>
      <c r="C20" s="233" t="s">
        <v>438</v>
      </c>
      <c r="D20" s="114">
        <f>[4]Saxmundham!E20</f>
        <v>8750</v>
      </c>
      <c r="E20" s="114">
        <f>[5]Saxmundham!D20</f>
        <v>5000</v>
      </c>
      <c r="F20" s="114">
        <f t="shared" si="0"/>
        <v>3750</v>
      </c>
      <c r="G20" s="243">
        <f t="shared" si="1"/>
        <v>0.57140000000000002</v>
      </c>
      <c r="H20" s="16"/>
    </row>
    <row r="21" spans="2:16" s="4" customFormat="1" x14ac:dyDescent="0.3">
      <c r="B21" s="230" t="s">
        <v>1241</v>
      </c>
      <c r="C21" s="247" t="s">
        <v>439</v>
      </c>
      <c r="D21" s="114">
        <f>[4]Saxmundham!E21</f>
        <v>9075</v>
      </c>
      <c r="E21" s="114">
        <f>[5]Saxmundham!D21</f>
        <v>9075</v>
      </c>
      <c r="F21" s="145">
        <f t="shared" si="0"/>
        <v>0</v>
      </c>
      <c r="G21" s="243">
        <f t="shared" si="1"/>
        <v>1</v>
      </c>
      <c r="H21" s="16"/>
      <c r="N21" s="4" t="s">
        <v>1381</v>
      </c>
      <c r="O21" s="4" t="s">
        <v>1378</v>
      </c>
      <c r="P21" s="4" t="s">
        <v>1383</v>
      </c>
    </row>
    <row r="22" spans="2:16" s="3" customFormat="1" ht="14.5" thickBot="1" x14ac:dyDescent="0.35">
      <c r="B22" s="222" t="s">
        <v>1242</v>
      </c>
      <c r="C22" s="226" t="s">
        <v>1398</v>
      </c>
      <c r="D22" s="109">
        <f>SUM(D18:D21)</f>
        <v>89940</v>
      </c>
      <c r="E22" s="109">
        <f>SUM(E18:E21)</f>
        <v>59421</v>
      </c>
      <c r="F22" s="109">
        <f t="shared" si="0"/>
        <v>30519</v>
      </c>
      <c r="G22" s="229">
        <f t="shared" si="1"/>
        <v>0.66069999999999995</v>
      </c>
      <c r="H22" s="14">
        <f>G22</f>
        <v>0.66069999999999995</v>
      </c>
    </row>
    <row r="23" spans="2:16" s="3" customFormat="1" ht="14.5" thickBot="1" x14ac:dyDescent="0.35">
      <c r="B23" s="222"/>
      <c r="C23" s="226"/>
      <c r="D23" s="109"/>
      <c r="E23" s="109"/>
      <c r="F23" s="109"/>
      <c r="G23" s="229"/>
      <c r="H23" s="14"/>
    </row>
    <row r="24" spans="2:16" s="3" customFormat="1" x14ac:dyDescent="0.3">
      <c r="B24" s="123" t="s">
        <v>1243</v>
      </c>
      <c r="C24" s="89" t="s">
        <v>440</v>
      </c>
      <c r="D24" s="114">
        <f>[4]Saxmundham!$E$24</f>
        <v>60101</v>
      </c>
      <c r="E24" s="114">
        <f>[5]Saxmundham!$D$24</f>
        <v>12000</v>
      </c>
      <c r="F24" s="114">
        <f t="shared" ref="F24" si="2">D24-E24</f>
        <v>48101</v>
      </c>
      <c r="G24" s="243">
        <f t="shared" ref="G24" si="3">ROUND((E24/D24),4)</f>
        <v>0.19969999999999999</v>
      </c>
      <c r="H24" s="14"/>
    </row>
    <row r="25" spans="2:16" s="4" customFormat="1" x14ac:dyDescent="0.3">
      <c r="B25" s="160"/>
      <c r="C25" s="89" t="s">
        <v>618</v>
      </c>
      <c r="D25" s="629">
        <v>-18826</v>
      </c>
      <c r="E25" s="629"/>
      <c r="F25" s="629">
        <f>D25</f>
        <v>-18826</v>
      </c>
      <c r="G25" s="188"/>
      <c r="H25" s="16"/>
    </row>
    <row r="26" spans="2:16" s="4" customFormat="1" ht="14.5" thickBot="1" x14ac:dyDescent="0.35">
      <c r="B26" s="124" t="s">
        <v>1243</v>
      </c>
      <c r="C26" s="99" t="s">
        <v>440</v>
      </c>
      <c r="D26" s="109">
        <f>SUM(D24:D25)</f>
        <v>41275</v>
      </c>
      <c r="E26" s="109">
        <f>SUM(E24:E25)</f>
        <v>12000</v>
      </c>
      <c r="F26" s="110">
        <f t="shared" ref="F26" si="4">D26-E26</f>
        <v>29275</v>
      </c>
      <c r="G26" s="229">
        <f t="shared" ref="G26" si="5">ROUND((E26/D26),4)</f>
        <v>0.29070000000000001</v>
      </c>
      <c r="H26" s="16"/>
      <c r="N26" s="4" t="s">
        <v>1384</v>
      </c>
      <c r="O26" s="4" t="s">
        <v>1382</v>
      </c>
      <c r="P26" s="4" t="s">
        <v>1379</v>
      </c>
    </row>
    <row r="27" spans="2:16" s="4" customFormat="1" x14ac:dyDescent="0.3">
      <c r="B27" s="230"/>
      <c r="C27" s="247"/>
      <c r="D27" s="145"/>
      <c r="E27" s="145"/>
      <c r="F27" s="145"/>
      <c r="G27" s="241"/>
      <c r="H27" s="16"/>
    </row>
    <row r="28" spans="2:16" s="4" customFormat="1" x14ac:dyDescent="0.3">
      <c r="B28" s="238" t="s">
        <v>1244</v>
      </c>
      <c r="C28" s="233" t="s">
        <v>441</v>
      </c>
      <c r="D28" s="114">
        <f>[4]Saxmundham!$E$27</f>
        <v>23189</v>
      </c>
      <c r="E28" s="114">
        <f>[5]Saxmundham!$D$28</f>
        <v>13000</v>
      </c>
      <c r="F28" s="114">
        <f t="shared" si="0"/>
        <v>10189</v>
      </c>
      <c r="G28" s="243">
        <f t="shared" si="1"/>
        <v>0.56059999999999999</v>
      </c>
      <c r="H28" s="16"/>
      <c r="N28" s="4" t="s">
        <v>1377</v>
      </c>
      <c r="O28" s="4" t="s">
        <v>1378</v>
      </c>
      <c r="P28" s="4" t="s">
        <v>1379</v>
      </c>
    </row>
    <row r="29" spans="2:16" s="4" customFormat="1" x14ac:dyDescent="0.3">
      <c r="B29" s="230" t="s">
        <v>1245</v>
      </c>
      <c r="C29" s="247" t="s">
        <v>21</v>
      </c>
      <c r="D29" s="145">
        <f>[4]Saxmundham!$E$28</f>
        <v>46380</v>
      </c>
      <c r="E29" s="114">
        <f>[5]Saxmundham!$D$29</f>
        <v>23192</v>
      </c>
      <c r="F29" s="145">
        <f t="shared" si="0"/>
        <v>23188</v>
      </c>
      <c r="G29" s="243">
        <f t="shared" si="1"/>
        <v>0.5</v>
      </c>
      <c r="H29" s="16"/>
      <c r="N29" s="4" t="s">
        <v>1381</v>
      </c>
      <c r="O29" s="4" t="s">
        <v>1378</v>
      </c>
      <c r="P29" s="4" t="s">
        <v>1379</v>
      </c>
    </row>
    <row r="30" spans="2:16" s="3" customFormat="1" ht="14.5" thickBot="1" x14ac:dyDescent="0.35">
      <c r="B30" s="222" t="s">
        <v>1246</v>
      </c>
      <c r="C30" s="226" t="s">
        <v>442</v>
      </c>
      <c r="D30" s="109">
        <f>SUM(D28:D29)</f>
        <v>69569</v>
      </c>
      <c r="E30" s="109">
        <f>SUM(E28:E29)</f>
        <v>36192</v>
      </c>
      <c r="F30" s="109">
        <f t="shared" si="0"/>
        <v>33377</v>
      </c>
      <c r="G30" s="229">
        <f t="shared" si="1"/>
        <v>0.5202</v>
      </c>
      <c r="H30" s="14">
        <f t="shared" ref="H30:H39" si="6">G30</f>
        <v>0.5202</v>
      </c>
    </row>
    <row r="31" spans="2:16" s="4" customFormat="1" ht="14.25" customHeight="1" x14ac:dyDescent="0.3">
      <c r="B31" s="230"/>
      <c r="C31" s="247"/>
      <c r="D31" s="145"/>
      <c r="E31" s="145"/>
      <c r="F31" s="145"/>
      <c r="G31" s="241"/>
      <c r="H31" s="16"/>
    </row>
    <row r="32" spans="2:16" s="4" customFormat="1" x14ac:dyDescent="0.3">
      <c r="B32" s="238" t="s">
        <v>1247</v>
      </c>
      <c r="C32" s="233" t="s">
        <v>443</v>
      </c>
      <c r="D32" s="114">
        <f>[4]Saxmundham!E31</f>
        <v>5627</v>
      </c>
      <c r="E32" s="114">
        <f>[5]Saxmundham!D32</f>
        <v>2814</v>
      </c>
      <c r="F32" s="114">
        <f t="shared" si="0"/>
        <v>2813</v>
      </c>
      <c r="G32" s="243">
        <f t="shared" si="1"/>
        <v>0.50009999999999999</v>
      </c>
      <c r="H32" s="16"/>
      <c r="N32" s="4" t="s">
        <v>1377</v>
      </c>
      <c r="O32" s="4" t="s">
        <v>1378</v>
      </c>
      <c r="P32" s="4" t="s">
        <v>1380</v>
      </c>
    </row>
    <row r="33" spans="2:16" s="4" customFormat="1" x14ac:dyDescent="0.3">
      <c r="B33" s="238" t="s">
        <v>1248</v>
      </c>
      <c r="C33" s="233" t="s">
        <v>444</v>
      </c>
      <c r="D33" s="114">
        <f>[4]Saxmundham!E32</f>
        <v>9104</v>
      </c>
      <c r="E33" s="114">
        <f>[5]Saxmundham!D33</f>
        <v>5000</v>
      </c>
      <c r="F33" s="114">
        <f t="shared" si="0"/>
        <v>4104</v>
      </c>
      <c r="G33" s="243">
        <f t="shared" si="1"/>
        <v>0.54920000000000002</v>
      </c>
      <c r="H33" s="16"/>
      <c r="N33" s="4" t="s">
        <v>1377</v>
      </c>
      <c r="O33" s="4" t="s">
        <v>1378</v>
      </c>
      <c r="P33" s="4" t="s">
        <v>1383</v>
      </c>
    </row>
    <row r="34" spans="2:16" s="4" customFormat="1" x14ac:dyDescent="0.3">
      <c r="B34" s="238" t="s">
        <v>1249</v>
      </c>
      <c r="C34" s="233" t="s">
        <v>445</v>
      </c>
      <c r="D34" s="114">
        <f>[4]Saxmundham!E33</f>
        <v>8535</v>
      </c>
      <c r="E34" s="114">
        <f>[5]Saxmundham!D34</f>
        <v>5123</v>
      </c>
      <c r="F34" s="114">
        <f t="shared" si="0"/>
        <v>3412</v>
      </c>
      <c r="G34" s="243">
        <f t="shared" si="1"/>
        <v>0.60019999999999996</v>
      </c>
      <c r="H34" s="16"/>
      <c r="N34" s="4" t="s">
        <v>1381</v>
      </c>
      <c r="O34" s="4" t="s">
        <v>1382</v>
      </c>
      <c r="P34" s="4" t="s">
        <v>1379</v>
      </c>
    </row>
    <row r="35" spans="2:16" s="4" customFormat="1" x14ac:dyDescent="0.3">
      <c r="B35" s="238" t="s">
        <v>1250</v>
      </c>
      <c r="C35" s="233" t="s">
        <v>446</v>
      </c>
      <c r="D35" s="114">
        <f>[4]Saxmundham!E34</f>
        <v>11000</v>
      </c>
      <c r="E35" s="114">
        <f>[5]Saxmundham!D35</f>
        <v>5500</v>
      </c>
      <c r="F35" s="114">
        <f t="shared" si="0"/>
        <v>5500</v>
      </c>
      <c r="G35" s="243">
        <f t="shared" si="1"/>
        <v>0.5</v>
      </c>
      <c r="H35" s="16"/>
      <c r="N35" s="4" t="s">
        <v>1377</v>
      </c>
      <c r="O35" s="4" t="s">
        <v>1378</v>
      </c>
      <c r="P35" s="4" t="s">
        <v>1380</v>
      </c>
    </row>
    <row r="36" spans="2:16" s="4" customFormat="1" x14ac:dyDescent="0.3">
      <c r="B36" s="238" t="s">
        <v>1251</v>
      </c>
      <c r="C36" s="233" t="s">
        <v>447</v>
      </c>
      <c r="D36" s="114">
        <f>[4]Saxmundham!E36</f>
        <v>5374</v>
      </c>
      <c r="E36" s="114">
        <f>[5]Saxmundham!D36</f>
        <v>3124.21</v>
      </c>
      <c r="F36" s="114">
        <f t="shared" si="0"/>
        <v>2249.79</v>
      </c>
      <c r="G36" s="243">
        <f t="shared" si="1"/>
        <v>0.58140000000000003</v>
      </c>
      <c r="H36" s="16"/>
      <c r="N36" s="4" t="s">
        <v>1381</v>
      </c>
      <c r="O36" s="4" t="s">
        <v>1382</v>
      </c>
      <c r="P36" s="4" t="s">
        <v>1379</v>
      </c>
    </row>
    <row r="37" spans="2:16" s="4" customFormat="1" x14ac:dyDescent="0.3">
      <c r="B37" s="238" t="s">
        <v>1252</v>
      </c>
      <c r="C37" s="233" t="s">
        <v>448</v>
      </c>
      <c r="D37" s="114">
        <f>[4]Saxmundham!E37</f>
        <v>12645</v>
      </c>
      <c r="E37" s="114">
        <f>[5]Saxmundham!D37</f>
        <v>9000</v>
      </c>
      <c r="F37" s="114">
        <f t="shared" si="0"/>
        <v>3645</v>
      </c>
      <c r="G37" s="243">
        <f t="shared" si="1"/>
        <v>0.7117</v>
      </c>
      <c r="H37" s="16"/>
      <c r="N37" s="4" t="s">
        <v>1377</v>
      </c>
      <c r="O37" s="4" t="s">
        <v>1378</v>
      </c>
      <c r="P37" s="4" t="s">
        <v>1380</v>
      </c>
    </row>
    <row r="38" spans="2:16" s="4" customFormat="1" x14ac:dyDescent="0.3">
      <c r="B38" s="230" t="s">
        <v>1253</v>
      </c>
      <c r="C38" s="247" t="s">
        <v>449</v>
      </c>
      <c r="D38" s="114">
        <f>[4]Saxmundham!E38</f>
        <v>10938</v>
      </c>
      <c r="E38" s="114">
        <f>[5]Saxmundham!D38</f>
        <v>8000</v>
      </c>
      <c r="F38" s="145">
        <f t="shared" si="0"/>
        <v>2938</v>
      </c>
      <c r="G38" s="243">
        <f t="shared" si="1"/>
        <v>0.73140000000000005</v>
      </c>
      <c r="H38" s="16"/>
      <c r="N38" s="4" t="s">
        <v>1377</v>
      </c>
      <c r="O38" s="4" t="s">
        <v>1378</v>
      </c>
    </row>
    <row r="39" spans="2:16" s="3" customFormat="1" ht="14.5" thickBot="1" x14ac:dyDescent="0.35">
      <c r="B39" s="222" t="s">
        <v>1254</v>
      </c>
      <c r="C39" s="226" t="s">
        <v>450</v>
      </c>
      <c r="D39" s="109">
        <f>SUM(D32:D38)</f>
        <v>63223</v>
      </c>
      <c r="E39" s="109">
        <f>SUM(E32:E38)</f>
        <v>38561.21</v>
      </c>
      <c r="F39" s="109">
        <f t="shared" si="0"/>
        <v>24661.79</v>
      </c>
      <c r="G39" s="229">
        <f t="shared" si="1"/>
        <v>0.6099</v>
      </c>
      <c r="H39" s="14">
        <f t="shared" si="6"/>
        <v>0.6099</v>
      </c>
    </row>
    <row r="40" spans="2:16" s="4" customFormat="1" x14ac:dyDescent="0.3">
      <c r="B40" s="230"/>
      <c r="C40" s="233"/>
      <c r="D40" s="114"/>
      <c r="E40" s="114"/>
      <c r="F40" s="114"/>
      <c r="G40" s="241"/>
    </row>
    <row r="41" spans="2:16" s="4" customFormat="1" ht="14.5" thickBot="1" x14ac:dyDescent="0.35">
      <c r="B41" s="293"/>
      <c r="C41" s="226" t="s">
        <v>58</v>
      </c>
      <c r="D41" s="109">
        <f>SUM(D39,D30,D22,D16,D24)</f>
        <v>347138</v>
      </c>
      <c r="E41" s="109">
        <f t="shared" ref="E41:F41" si="7">SUM(E39,E30,E22,E16,E24)</f>
        <v>171718.21</v>
      </c>
      <c r="F41" s="109">
        <f t="shared" si="7"/>
        <v>175419.79</v>
      </c>
      <c r="G41" s="282">
        <f t="shared" ref="G41" si="8">ROUND((E41/D41),4)</f>
        <v>0.49469999999999997</v>
      </c>
    </row>
    <row r="42" spans="2:16" s="4" customFormat="1" x14ac:dyDescent="0.3">
      <c r="B42" s="238"/>
      <c r="C42" s="284"/>
      <c r="D42" s="236"/>
      <c r="E42" s="236"/>
      <c r="F42" s="236"/>
      <c r="G42" s="305"/>
    </row>
    <row r="43" spans="2:16" s="4" customFormat="1" ht="14.5" thickBot="1" x14ac:dyDescent="0.35">
      <c r="B43" s="124"/>
      <c r="C43" s="99" t="s">
        <v>1638</v>
      </c>
      <c r="D43" s="110">
        <f>SUM(D39,D30,D26,D22,D16)</f>
        <v>328312</v>
      </c>
      <c r="E43" s="110">
        <f t="shared" ref="E43:F43" si="9">SUM(E39,E30,E26,E22,E16)</f>
        <v>171718.21</v>
      </c>
      <c r="F43" s="110">
        <f t="shared" si="9"/>
        <v>156593.79</v>
      </c>
      <c r="G43" s="136">
        <f>E43/D43</f>
        <v>0.52303360827505541</v>
      </c>
    </row>
    <row r="44" spans="2:16" s="4" customFormat="1" x14ac:dyDescent="0.3">
      <c r="B44" s="127"/>
      <c r="C44" s="97"/>
      <c r="D44" s="111"/>
      <c r="E44" s="111"/>
      <c r="F44" s="111"/>
      <c r="G44" s="134"/>
    </row>
    <row r="45" spans="2:16" s="4" customFormat="1" ht="14.5" thickBot="1" x14ac:dyDescent="0.35">
      <c r="B45" s="147"/>
      <c r="C45" s="99" t="s">
        <v>1630</v>
      </c>
      <c r="D45" s="110">
        <f>[7]Saxmundham!$D$45</f>
        <v>318581</v>
      </c>
      <c r="E45" s="110">
        <v>177780</v>
      </c>
      <c r="F45" s="19">
        <f>D45-E45</f>
        <v>140801</v>
      </c>
      <c r="G45" s="136">
        <f>E45/D45</f>
        <v>0.55803704552374434</v>
      </c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84"/>
  <sheetViews>
    <sheetView topLeftCell="A73" zoomScaleNormal="100" workbookViewId="0">
      <selection activeCell="F82" sqref="F82"/>
    </sheetView>
  </sheetViews>
  <sheetFormatPr defaultRowHeight="14" x14ac:dyDescent="0.3"/>
  <cols>
    <col min="1" max="1" width="9" style="24"/>
    <col min="2" max="2" width="10.83203125" style="24" bestFit="1" customWidth="1"/>
    <col min="3" max="3" width="52.75" customWidth="1"/>
    <col min="4" max="6" width="12" bestFit="1" customWidth="1"/>
    <col min="7" max="7" width="12.5" style="8" bestFit="1" customWidth="1"/>
    <col min="8" max="10" width="9" hidden="1" customWidth="1"/>
    <col min="11" max="11" width="20.08203125" hidden="1" customWidth="1"/>
    <col min="12" max="12" width="9" hidden="1" customWidth="1"/>
    <col min="13" max="13" width="2.75" hidden="1" customWidth="1"/>
    <col min="14" max="14" width="16.75" hidden="1" customWidth="1"/>
    <col min="15" max="15" width="15.5" hidden="1" customWidth="1"/>
    <col min="16" max="16" width="13.83203125" hidden="1" customWidth="1"/>
  </cols>
  <sheetData>
    <row r="1" spans="2:16" s="24" customFormat="1" ht="14.5" thickBot="1" x14ac:dyDescent="0.35">
      <c r="G1" s="8"/>
    </row>
    <row r="2" spans="2:16" s="2" customFormat="1" ht="22.5" customHeight="1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25" customHeight="1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COUNTIF(H9:H76,"&gt;1")</f>
        <v>0</v>
      </c>
    </row>
    <row r="4" spans="2:16" s="3" customFormat="1" ht="18" thickBot="1" x14ac:dyDescent="0.4">
      <c r="B4" s="120"/>
      <c r="C4" s="158" t="s">
        <v>451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COUNTIF(H9:H76,1)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2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7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26"/>
      <c r="C7" s="97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4" customFormat="1" x14ac:dyDescent="0.3">
      <c r="B8" s="230" t="s">
        <v>1255</v>
      </c>
      <c r="C8" s="233" t="s">
        <v>492</v>
      </c>
      <c r="D8" s="114">
        <f>'[4]Waveney and Blyth'!$E$8-369</f>
        <v>69512</v>
      </c>
      <c r="E8" s="114">
        <f>'[5]Waveney &amp; Blyth'!$D$8</f>
        <v>27000</v>
      </c>
      <c r="F8" s="114">
        <f>D8-E8</f>
        <v>42512</v>
      </c>
      <c r="G8" s="243">
        <f>ROUND((E8/D8),4)</f>
        <v>0.38840000000000002</v>
      </c>
      <c r="J8" s="24"/>
      <c r="K8" s="13"/>
      <c r="L8" s="13">
        <f>SUM(L3:L7)</f>
        <v>9</v>
      </c>
      <c r="N8" s="4" t="s">
        <v>1381</v>
      </c>
      <c r="O8" s="4" t="s">
        <v>1378</v>
      </c>
      <c r="P8" s="4" t="s">
        <v>1379</v>
      </c>
    </row>
    <row r="9" spans="2:16" s="3" customFormat="1" ht="14.5" thickBot="1" x14ac:dyDescent="0.35">
      <c r="B9" s="222" t="s">
        <v>1255</v>
      </c>
      <c r="C9" s="226" t="s">
        <v>492</v>
      </c>
      <c r="D9" s="109">
        <f>SUM(D8:D8)</f>
        <v>69512</v>
      </c>
      <c r="E9" s="109">
        <f>SUM(E8:E8)</f>
        <v>27000</v>
      </c>
      <c r="F9" s="109">
        <f>D9-E9</f>
        <v>42512</v>
      </c>
      <c r="G9" s="229">
        <f>ROUND((E9/D9),4)</f>
        <v>0.38840000000000002</v>
      </c>
      <c r="H9" s="14">
        <f>G9</f>
        <v>0.38840000000000002</v>
      </c>
      <c r="J9" s="13"/>
    </row>
    <row r="10" spans="2:16" s="4" customFormat="1" ht="14.25" customHeight="1" x14ac:dyDescent="0.3">
      <c r="B10" s="238"/>
      <c r="C10" s="233"/>
      <c r="D10" s="114"/>
      <c r="E10" s="114"/>
      <c r="F10" s="114"/>
      <c r="G10" s="243"/>
      <c r="H10" s="14"/>
      <c r="J10" s="13"/>
      <c r="K10" s="13"/>
      <c r="L10" s="13"/>
    </row>
    <row r="11" spans="2:16" s="4" customFormat="1" x14ac:dyDescent="0.3">
      <c r="B11" s="238" t="s">
        <v>1256</v>
      </c>
      <c r="C11" s="233" t="s">
        <v>452</v>
      </c>
      <c r="D11" s="114">
        <f>'[4]Waveney and Blyth'!E11</f>
        <v>2928</v>
      </c>
      <c r="E11" s="114">
        <f>'[5]Waveney &amp; Blyth'!D11</f>
        <v>0</v>
      </c>
      <c r="F11" s="114">
        <f t="shared" ref="F11:F76" si="0">D11-E11</f>
        <v>2928</v>
      </c>
      <c r="G11" s="243">
        <f t="shared" ref="G11:G76" si="1">ROUND((E11/D11),4)</f>
        <v>0</v>
      </c>
      <c r="H11" s="14"/>
      <c r="K11" s="13"/>
      <c r="L11" s="13"/>
    </row>
    <row r="12" spans="2:16" s="4" customFormat="1" x14ac:dyDescent="0.3">
      <c r="B12" s="238" t="s">
        <v>1257</v>
      </c>
      <c r="C12" s="233" t="s">
        <v>453</v>
      </c>
      <c r="D12" s="114">
        <f>'[4]Waveney and Blyth'!E12</f>
        <v>14436</v>
      </c>
      <c r="E12" s="114">
        <f>'[5]Waveney &amp; Blyth'!D12</f>
        <v>2000</v>
      </c>
      <c r="F12" s="114">
        <f t="shared" si="0"/>
        <v>12436</v>
      </c>
      <c r="G12" s="243">
        <f t="shared" si="1"/>
        <v>0.13850000000000001</v>
      </c>
      <c r="H12" s="14"/>
      <c r="N12" s="4" t="s">
        <v>1377</v>
      </c>
      <c r="O12" s="4" t="s">
        <v>1378</v>
      </c>
    </row>
    <row r="13" spans="2:16" s="4" customFormat="1" x14ac:dyDescent="0.3">
      <c r="B13" s="238" t="s">
        <v>1258</v>
      </c>
      <c r="C13" s="233" t="s">
        <v>454</v>
      </c>
      <c r="D13" s="114">
        <f>'[4]Waveney and Blyth'!E13</f>
        <v>6962</v>
      </c>
      <c r="E13" s="114">
        <f>'[5]Waveney &amp; Blyth'!D13</f>
        <v>3481</v>
      </c>
      <c r="F13" s="114">
        <f t="shared" si="0"/>
        <v>3481</v>
      </c>
      <c r="G13" s="243">
        <f t="shared" si="1"/>
        <v>0.5</v>
      </c>
      <c r="H13" s="14"/>
      <c r="N13" s="4" t="s">
        <v>1384</v>
      </c>
      <c r="O13" s="4" t="s">
        <v>1382</v>
      </c>
      <c r="P13" s="4" t="s">
        <v>1379</v>
      </c>
    </row>
    <row r="14" spans="2:16" s="4" customFormat="1" x14ac:dyDescent="0.3">
      <c r="B14" s="238" t="s">
        <v>1259</v>
      </c>
      <c r="C14" s="233" t="s">
        <v>455</v>
      </c>
      <c r="D14" s="114">
        <f>'[4]Waveney and Blyth'!E14</f>
        <v>27576</v>
      </c>
      <c r="E14" s="114">
        <f>'[5]Waveney &amp; Blyth'!D14</f>
        <v>1500</v>
      </c>
      <c r="F14" s="114">
        <f t="shared" si="0"/>
        <v>26076</v>
      </c>
      <c r="G14" s="243">
        <f t="shared" si="1"/>
        <v>5.4399999999999997E-2</v>
      </c>
      <c r="H14" s="14"/>
      <c r="N14" s="4" t="s">
        <v>1377</v>
      </c>
      <c r="O14" s="4" t="s">
        <v>1378</v>
      </c>
    </row>
    <row r="15" spans="2:16" s="4" customFormat="1" x14ac:dyDescent="0.3">
      <c r="B15" s="238" t="s">
        <v>1260</v>
      </c>
      <c r="C15" s="233" t="s">
        <v>456</v>
      </c>
      <c r="D15" s="114">
        <f>'[4]Waveney and Blyth'!E15</f>
        <v>17544</v>
      </c>
      <c r="E15" s="114">
        <f>'[5]Waveney &amp; Blyth'!D15</f>
        <v>8041</v>
      </c>
      <c r="F15" s="114">
        <f t="shared" si="0"/>
        <v>9503</v>
      </c>
      <c r="G15" s="243">
        <f t="shared" si="1"/>
        <v>0.45829999999999999</v>
      </c>
      <c r="H15" s="14"/>
      <c r="N15" s="4" t="s">
        <v>1377</v>
      </c>
      <c r="O15" s="4" t="s">
        <v>1378</v>
      </c>
      <c r="P15" s="4" t="s">
        <v>1385</v>
      </c>
    </row>
    <row r="16" spans="2:16" s="4" customFormat="1" x14ac:dyDescent="0.3">
      <c r="B16" s="238" t="s">
        <v>1261</v>
      </c>
      <c r="C16" s="233" t="s">
        <v>457</v>
      </c>
      <c r="D16" s="114">
        <f>'[4]Waveney and Blyth'!E16</f>
        <v>5628</v>
      </c>
      <c r="E16" s="114">
        <f>'[5]Waveney &amp; Blyth'!D16</f>
        <v>0</v>
      </c>
      <c r="F16" s="114">
        <f t="shared" si="0"/>
        <v>5628</v>
      </c>
      <c r="G16" s="243">
        <f t="shared" si="1"/>
        <v>0</v>
      </c>
      <c r="H16" s="14"/>
    </row>
    <row r="17" spans="2:16" s="4" customFormat="1" x14ac:dyDescent="0.3">
      <c r="B17" s="238" t="s">
        <v>1262</v>
      </c>
      <c r="C17" s="233" t="s">
        <v>458</v>
      </c>
      <c r="D17" s="114">
        <f>'[4]Waveney and Blyth'!E17</f>
        <v>6288</v>
      </c>
      <c r="E17" s="114">
        <f>'[5]Waveney &amp; Blyth'!D17</f>
        <v>3668</v>
      </c>
      <c r="F17" s="114">
        <f t="shared" si="0"/>
        <v>2620</v>
      </c>
      <c r="G17" s="243">
        <f t="shared" si="1"/>
        <v>0.58330000000000004</v>
      </c>
      <c r="H17" s="14"/>
      <c r="N17" s="4" t="s">
        <v>1377</v>
      </c>
      <c r="O17" s="4" t="s">
        <v>1378</v>
      </c>
      <c r="P17" s="4" t="s">
        <v>1379</v>
      </c>
    </row>
    <row r="18" spans="2:16" s="4" customFormat="1" x14ac:dyDescent="0.3">
      <c r="B18" s="238" t="s">
        <v>1263</v>
      </c>
      <c r="C18" s="233" t="s">
        <v>459</v>
      </c>
      <c r="D18" s="114">
        <f>'[4]Waveney and Blyth'!E18</f>
        <v>2964</v>
      </c>
      <c r="E18" s="114">
        <f>'[5]Waveney &amp; Blyth'!D18</f>
        <v>0</v>
      </c>
      <c r="F18" s="114">
        <f t="shared" si="0"/>
        <v>2964</v>
      </c>
      <c r="G18" s="243">
        <f t="shared" si="1"/>
        <v>0</v>
      </c>
      <c r="H18" s="14"/>
      <c r="N18" s="4" t="s">
        <v>1377</v>
      </c>
      <c r="O18" s="4" t="s">
        <v>1378</v>
      </c>
      <c r="P18" s="4" t="s">
        <v>1380</v>
      </c>
    </row>
    <row r="19" spans="2:16" s="4" customFormat="1" x14ac:dyDescent="0.3">
      <c r="B19" s="238" t="s">
        <v>1264</v>
      </c>
      <c r="C19" s="233" t="s">
        <v>460</v>
      </c>
      <c r="D19" s="114">
        <f>'[4]Waveney and Blyth'!E19</f>
        <v>21096</v>
      </c>
      <c r="E19" s="114">
        <f>'[5]Waveney &amp; Blyth'!D19</f>
        <v>6500</v>
      </c>
      <c r="F19" s="114">
        <f t="shared" si="0"/>
        <v>14596</v>
      </c>
      <c r="G19" s="243">
        <f t="shared" si="1"/>
        <v>0.30809999999999998</v>
      </c>
      <c r="H19" s="14"/>
      <c r="N19" s="4" t="s">
        <v>1377</v>
      </c>
      <c r="O19" s="4" t="s">
        <v>1378</v>
      </c>
    </row>
    <row r="20" spans="2:16" s="4" customFormat="1" x14ac:dyDescent="0.3">
      <c r="B20" s="230" t="s">
        <v>1265</v>
      </c>
      <c r="C20" s="247" t="s">
        <v>461</v>
      </c>
      <c r="D20" s="114">
        <f>'[4]Waveney and Blyth'!E20</f>
        <v>10512</v>
      </c>
      <c r="E20" s="114">
        <f>'[5]Waveney &amp; Blyth'!D20</f>
        <v>2628</v>
      </c>
      <c r="F20" s="145">
        <f t="shared" si="0"/>
        <v>7884</v>
      </c>
      <c r="G20" s="243">
        <f t="shared" si="1"/>
        <v>0.25</v>
      </c>
      <c r="H20" s="14"/>
      <c r="N20" s="4" t="s">
        <v>1381</v>
      </c>
      <c r="O20" s="4" t="s">
        <v>1382</v>
      </c>
      <c r="P20" s="4" t="s">
        <v>1379</v>
      </c>
    </row>
    <row r="21" spans="2:16" s="3" customFormat="1" ht="14.5" thickBot="1" x14ac:dyDescent="0.35">
      <c r="B21" s="222" t="s">
        <v>1266</v>
      </c>
      <c r="C21" s="226" t="s">
        <v>462</v>
      </c>
      <c r="D21" s="109">
        <f>SUM(D11:D20)</f>
        <v>115934</v>
      </c>
      <c r="E21" s="109">
        <f>SUM(E11:E20)</f>
        <v>27818</v>
      </c>
      <c r="F21" s="109">
        <f t="shared" si="0"/>
        <v>88116</v>
      </c>
      <c r="G21" s="229">
        <f t="shared" si="1"/>
        <v>0.2399</v>
      </c>
      <c r="H21" s="14">
        <f t="shared" ref="H21:H76" si="2">G21</f>
        <v>0.2399</v>
      </c>
      <c r="N21" s="4"/>
      <c r="O21" s="4"/>
      <c r="P21" s="4"/>
    </row>
    <row r="22" spans="2:16" s="4" customFormat="1" ht="14.25" customHeight="1" x14ac:dyDescent="0.3">
      <c r="B22" s="238"/>
      <c r="C22" s="233"/>
      <c r="D22" s="114"/>
      <c r="E22" s="114"/>
      <c r="F22" s="114"/>
      <c r="G22" s="243"/>
      <c r="H22" s="14"/>
    </row>
    <row r="23" spans="2:16" s="4" customFormat="1" x14ac:dyDescent="0.3">
      <c r="B23" s="238" t="s">
        <v>1267</v>
      </c>
      <c r="C23" s="233" t="s">
        <v>463</v>
      </c>
      <c r="D23" s="114">
        <f>'[4]Waveney and Blyth'!E23</f>
        <v>25466</v>
      </c>
      <c r="E23" s="114">
        <f>'[5]Waveney &amp; Blyth'!D23</f>
        <v>6000</v>
      </c>
      <c r="F23" s="114">
        <f>D23-E23</f>
        <v>19466</v>
      </c>
      <c r="G23" s="188">
        <f t="shared" si="1"/>
        <v>0.2356</v>
      </c>
      <c r="H23" s="14"/>
      <c r="N23" s="4" t="s">
        <v>1377</v>
      </c>
      <c r="O23" s="4" t="s">
        <v>1378</v>
      </c>
    </row>
    <row r="24" spans="2:16" s="4" customFormat="1" x14ac:dyDescent="0.3">
      <c r="B24" s="238" t="s">
        <v>1268</v>
      </c>
      <c r="C24" s="233" t="s">
        <v>464</v>
      </c>
      <c r="D24" s="114">
        <f>'[4]Waveney and Blyth'!E24</f>
        <v>35830</v>
      </c>
      <c r="E24" s="114">
        <f>'[5]Waveney &amp; Blyth'!D24</f>
        <v>7000</v>
      </c>
      <c r="F24" s="114">
        <f t="shared" ref="F24:F25" si="3">D24-E24</f>
        <v>28830</v>
      </c>
      <c r="G24" s="188">
        <f t="shared" si="1"/>
        <v>0.19539999999999999</v>
      </c>
      <c r="H24" s="14"/>
      <c r="N24" s="4" t="s">
        <v>1377</v>
      </c>
      <c r="O24" s="4" t="s">
        <v>1378</v>
      </c>
    </row>
    <row r="25" spans="2:16" s="4" customFormat="1" x14ac:dyDescent="0.3">
      <c r="B25" s="230" t="s">
        <v>1269</v>
      </c>
      <c r="C25" s="247" t="s">
        <v>465</v>
      </c>
      <c r="D25" s="114">
        <f>'[4]Waveney and Blyth'!E25</f>
        <v>5534</v>
      </c>
      <c r="E25" s="114">
        <f>'[5]Waveney &amp; Blyth'!D25</f>
        <v>1000</v>
      </c>
      <c r="F25" s="145">
        <f t="shared" si="3"/>
        <v>4534</v>
      </c>
      <c r="G25" s="188">
        <f t="shared" si="1"/>
        <v>0.1807</v>
      </c>
      <c r="H25" s="14"/>
      <c r="N25" s="4" t="s">
        <v>1377</v>
      </c>
      <c r="O25" s="4" t="s">
        <v>1378</v>
      </c>
    </row>
    <row r="26" spans="2:16" s="3" customFormat="1" ht="14.5" thickBot="1" x14ac:dyDescent="0.35">
      <c r="B26" s="222" t="s">
        <v>1270</v>
      </c>
      <c r="C26" s="226" t="s">
        <v>466</v>
      </c>
      <c r="D26" s="109">
        <f>SUM(D23:D25)</f>
        <v>66830</v>
      </c>
      <c r="E26" s="109">
        <f>SUM(E23:E25)</f>
        <v>14000</v>
      </c>
      <c r="F26" s="109">
        <f t="shared" si="0"/>
        <v>52830</v>
      </c>
      <c r="G26" s="229">
        <f t="shared" si="1"/>
        <v>0.20949999999999999</v>
      </c>
      <c r="H26" s="14">
        <f t="shared" si="2"/>
        <v>0.20949999999999999</v>
      </c>
      <c r="N26" s="4"/>
      <c r="O26" s="4"/>
      <c r="P26" s="4"/>
    </row>
    <row r="27" spans="2:16" s="4" customFormat="1" ht="14.25" customHeight="1" x14ac:dyDescent="0.3">
      <c r="B27" s="238" t="s">
        <v>565</v>
      </c>
      <c r="C27" s="233"/>
      <c r="D27" s="114"/>
      <c r="E27" s="114"/>
      <c r="F27" s="114"/>
      <c r="G27" s="243"/>
      <c r="H27" s="14"/>
    </row>
    <row r="28" spans="2:16" s="4" customFormat="1" x14ac:dyDescent="0.3">
      <c r="B28" s="238" t="s">
        <v>1271</v>
      </c>
      <c r="C28" s="233" t="s">
        <v>467</v>
      </c>
      <c r="D28" s="114">
        <f>'[4]Waveney and Blyth'!E28</f>
        <v>5700</v>
      </c>
      <c r="E28" s="114">
        <f>'[5]Waveney &amp; Blyth'!D28</f>
        <v>0</v>
      </c>
      <c r="F28" s="114">
        <f>D28-E28</f>
        <v>5700</v>
      </c>
      <c r="G28" s="243">
        <f t="shared" si="1"/>
        <v>0</v>
      </c>
      <c r="H28" s="14"/>
    </row>
    <row r="29" spans="2:16" s="4" customFormat="1" x14ac:dyDescent="0.3">
      <c r="B29" s="238" t="s">
        <v>1272</v>
      </c>
      <c r="C29" s="233" t="s">
        <v>468</v>
      </c>
      <c r="D29" s="114">
        <f>'[4]Waveney and Blyth'!E29</f>
        <v>5700</v>
      </c>
      <c r="E29" s="114">
        <f>'[5]Waveney &amp; Blyth'!D29</f>
        <v>0</v>
      </c>
      <c r="F29" s="114">
        <f>D29-E29</f>
        <v>5700</v>
      </c>
      <c r="G29" s="243">
        <f t="shared" si="1"/>
        <v>0</v>
      </c>
      <c r="H29" s="14"/>
    </row>
    <row r="30" spans="2:16" s="4" customFormat="1" x14ac:dyDescent="0.3">
      <c r="B30" s="230" t="s">
        <v>1273</v>
      </c>
      <c r="C30" s="247" t="s">
        <v>469</v>
      </c>
      <c r="D30" s="114">
        <f>'[4]Waveney and Blyth'!E30</f>
        <v>4257</v>
      </c>
      <c r="E30" s="114">
        <f>'[5]Waveney &amp; Blyth'!D30</f>
        <v>0</v>
      </c>
      <c r="F30" s="145">
        <f>D30-E30</f>
        <v>4257</v>
      </c>
      <c r="G30" s="243">
        <f t="shared" si="1"/>
        <v>0</v>
      </c>
      <c r="H30" s="14"/>
      <c r="N30" s="3"/>
      <c r="O30" s="3"/>
      <c r="P30" s="3"/>
    </row>
    <row r="31" spans="2:16" s="3" customFormat="1" ht="14.5" thickBot="1" x14ac:dyDescent="0.35">
      <c r="B31" s="222" t="s">
        <v>1274</v>
      </c>
      <c r="C31" s="226" t="s">
        <v>470</v>
      </c>
      <c r="D31" s="109">
        <f>SUM(D28:D30)</f>
        <v>15657</v>
      </c>
      <c r="E31" s="109">
        <f>SUM(E28:E30)</f>
        <v>0</v>
      </c>
      <c r="F31" s="109">
        <f t="shared" si="0"/>
        <v>15657</v>
      </c>
      <c r="G31" s="229">
        <f t="shared" si="1"/>
        <v>0</v>
      </c>
      <c r="H31" s="14">
        <f t="shared" si="2"/>
        <v>0</v>
      </c>
      <c r="N31" s="4"/>
      <c r="O31" s="4"/>
      <c r="P31" s="4"/>
    </row>
    <row r="32" spans="2:16" s="4" customFormat="1" ht="14.25" customHeight="1" x14ac:dyDescent="0.3">
      <c r="B32" s="238"/>
      <c r="C32" s="233"/>
      <c r="D32" s="114"/>
      <c r="E32" s="114"/>
      <c r="F32" s="114"/>
      <c r="G32" s="243"/>
      <c r="H32" s="14"/>
    </row>
    <row r="33" spans="2:16" s="4" customFormat="1" x14ac:dyDescent="0.3">
      <c r="B33" s="238" t="s">
        <v>1275</v>
      </c>
      <c r="C33" s="233" t="s">
        <v>471</v>
      </c>
      <c r="D33" s="114">
        <f>'[4]Waveney and Blyth'!E33</f>
        <v>6634</v>
      </c>
      <c r="E33" s="114">
        <f>'[5]Waveney &amp; Blyth'!D33</f>
        <v>0</v>
      </c>
      <c r="F33" s="114">
        <f t="shared" si="0"/>
        <v>6634</v>
      </c>
      <c r="G33" s="243">
        <f t="shared" si="1"/>
        <v>0</v>
      </c>
      <c r="H33" s="14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1276</v>
      </c>
      <c r="C34" s="233" t="s">
        <v>472</v>
      </c>
      <c r="D34" s="114">
        <f>'[4]Waveney and Blyth'!E34</f>
        <v>5135</v>
      </c>
      <c r="E34" s="114">
        <f>'[5]Waveney &amp; Blyth'!D34</f>
        <v>3820</v>
      </c>
      <c r="F34" s="114">
        <f t="shared" si="0"/>
        <v>1315</v>
      </c>
      <c r="G34" s="243">
        <f t="shared" si="1"/>
        <v>0.74390000000000001</v>
      </c>
      <c r="H34" s="14"/>
      <c r="N34" s="4" t="s">
        <v>1377</v>
      </c>
      <c r="O34" s="4" t="s">
        <v>1378</v>
      </c>
    </row>
    <row r="35" spans="2:16" s="4" customFormat="1" x14ac:dyDescent="0.3">
      <c r="B35" s="238" t="s">
        <v>1277</v>
      </c>
      <c r="C35" s="233" t="s">
        <v>473</v>
      </c>
      <c r="D35" s="114">
        <f>'[4]Waveney and Blyth'!E35</f>
        <v>6160</v>
      </c>
      <c r="E35" s="114">
        <f>'[5]Waveney &amp; Blyth'!D35</f>
        <v>1820</v>
      </c>
      <c r="F35" s="114">
        <f t="shared" si="0"/>
        <v>4340</v>
      </c>
      <c r="G35" s="243">
        <f t="shared" si="1"/>
        <v>0.29549999999999998</v>
      </c>
      <c r="H35" s="14"/>
      <c r="N35" s="4" t="s">
        <v>1377</v>
      </c>
      <c r="O35" s="4" t="s">
        <v>1378</v>
      </c>
    </row>
    <row r="36" spans="2:16" s="4" customFormat="1" x14ac:dyDescent="0.3">
      <c r="B36" s="238" t="s">
        <v>1278</v>
      </c>
      <c r="C36" s="233" t="s">
        <v>474</v>
      </c>
      <c r="D36" s="114">
        <f>'[4]Waveney and Blyth'!E36</f>
        <v>4510</v>
      </c>
      <c r="E36" s="114">
        <f>'[5]Waveney &amp; Blyth'!D36</f>
        <v>2320</v>
      </c>
      <c r="F36" s="114">
        <f t="shared" si="0"/>
        <v>2190</v>
      </c>
      <c r="G36" s="243">
        <f t="shared" si="1"/>
        <v>0.51439999999999997</v>
      </c>
      <c r="H36" s="14"/>
      <c r="N36" s="4" t="s">
        <v>1377</v>
      </c>
      <c r="O36" s="4" t="s">
        <v>1378</v>
      </c>
    </row>
    <row r="37" spans="2:16" s="4" customFormat="1" x14ac:dyDescent="0.3">
      <c r="B37" s="238" t="s">
        <v>1279</v>
      </c>
      <c r="C37" s="233" t="s">
        <v>475</v>
      </c>
      <c r="D37" s="114">
        <f>'[4]Waveney and Blyth'!E37</f>
        <v>8834</v>
      </c>
      <c r="E37" s="114">
        <f>'[5]Waveney &amp; Blyth'!D37</f>
        <v>3470</v>
      </c>
      <c r="F37" s="114">
        <f t="shared" si="0"/>
        <v>5364</v>
      </c>
      <c r="G37" s="243">
        <f t="shared" si="1"/>
        <v>0.39279999999999998</v>
      </c>
      <c r="H37" s="14"/>
      <c r="N37" s="4" t="s">
        <v>1381</v>
      </c>
      <c r="O37" s="4" t="s">
        <v>1382</v>
      </c>
      <c r="P37" s="4" t="s">
        <v>1379</v>
      </c>
    </row>
    <row r="38" spans="2:16" s="4" customFormat="1" x14ac:dyDescent="0.3">
      <c r="B38" s="238" t="s">
        <v>1280</v>
      </c>
      <c r="C38" s="233" t="s">
        <v>476</v>
      </c>
      <c r="D38" s="114">
        <f>'[4]Waveney and Blyth'!E38</f>
        <v>7010</v>
      </c>
      <c r="E38" s="114">
        <f>'[5]Waveney &amp; Blyth'!D38</f>
        <v>3373.81</v>
      </c>
      <c r="F38" s="114">
        <f t="shared" si="0"/>
        <v>3636.19</v>
      </c>
      <c r="G38" s="243">
        <f t="shared" si="1"/>
        <v>0.48130000000000001</v>
      </c>
      <c r="H38" s="14"/>
      <c r="N38" s="4" t="s">
        <v>1384</v>
      </c>
      <c r="O38" s="4" t="s">
        <v>1378</v>
      </c>
      <c r="P38" s="4" t="s">
        <v>1379</v>
      </c>
    </row>
    <row r="39" spans="2:16" s="4" customFormat="1" x14ac:dyDescent="0.3">
      <c r="B39" s="238" t="s">
        <v>1281</v>
      </c>
      <c r="C39" s="233" t="s">
        <v>477</v>
      </c>
      <c r="D39" s="114">
        <f>'[4]Waveney and Blyth'!E39</f>
        <v>3386</v>
      </c>
      <c r="E39" s="114">
        <f>'[5]Waveney &amp; Blyth'!D39</f>
        <v>260</v>
      </c>
      <c r="F39" s="114">
        <f t="shared" si="0"/>
        <v>3126</v>
      </c>
      <c r="G39" s="243">
        <f t="shared" si="1"/>
        <v>7.6799999999999993E-2</v>
      </c>
      <c r="H39" s="14"/>
      <c r="N39" s="4" t="s">
        <v>1381</v>
      </c>
      <c r="O39" s="4" t="s">
        <v>1382</v>
      </c>
      <c r="P39" s="4" t="s">
        <v>1379</v>
      </c>
    </row>
    <row r="40" spans="2:16" s="4" customFormat="1" x14ac:dyDescent="0.3">
      <c r="B40" s="238" t="s">
        <v>1282</v>
      </c>
      <c r="C40" s="233" t="s">
        <v>478</v>
      </c>
      <c r="D40" s="114">
        <f>'[4]Waveney and Blyth'!E40</f>
        <v>7159</v>
      </c>
      <c r="E40" s="114">
        <f>'[5]Waveney &amp; Blyth'!D40</f>
        <v>320</v>
      </c>
      <c r="F40" s="114">
        <f t="shared" si="0"/>
        <v>6839</v>
      </c>
      <c r="G40" s="243">
        <f t="shared" si="1"/>
        <v>4.4699999999999997E-2</v>
      </c>
      <c r="H40" s="14"/>
    </row>
    <row r="41" spans="2:16" s="4" customFormat="1" x14ac:dyDescent="0.3">
      <c r="B41" s="238" t="s">
        <v>1283</v>
      </c>
      <c r="C41" s="233" t="s">
        <v>479</v>
      </c>
      <c r="D41" s="114">
        <f>'[4]Waveney and Blyth'!E41</f>
        <v>4985</v>
      </c>
      <c r="E41" s="114">
        <f>'[5]Waveney &amp; Blyth'!D41</f>
        <v>320</v>
      </c>
      <c r="F41" s="114">
        <f t="shared" si="0"/>
        <v>4665</v>
      </c>
      <c r="G41" s="243">
        <f t="shared" si="1"/>
        <v>6.4199999999999993E-2</v>
      </c>
      <c r="H41" s="14"/>
      <c r="N41" s="3"/>
      <c r="O41" s="3"/>
      <c r="P41" s="3"/>
    </row>
    <row r="42" spans="2:16" s="4" customFormat="1" x14ac:dyDescent="0.3">
      <c r="B42" s="238"/>
      <c r="C42" s="18" t="s">
        <v>1635</v>
      </c>
      <c r="D42" s="114">
        <f>'[4]Waveney and Blyth'!$E$42</f>
        <v>2500</v>
      </c>
      <c r="E42" s="114"/>
      <c r="F42" s="114">
        <f t="shared" si="0"/>
        <v>2500</v>
      </c>
      <c r="G42" s="243">
        <f t="shared" si="1"/>
        <v>0</v>
      </c>
      <c r="H42" s="14"/>
      <c r="N42" s="3"/>
      <c r="O42" s="3"/>
      <c r="P42" s="3"/>
    </row>
    <row r="43" spans="2:16" s="3" customFormat="1" ht="14.5" thickBot="1" x14ac:dyDescent="0.35">
      <c r="B43" s="222" t="s">
        <v>1284</v>
      </c>
      <c r="C43" s="226" t="s">
        <v>480</v>
      </c>
      <c r="D43" s="109">
        <f>SUM(D33:D42)</f>
        <v>56313</v>
      </c>
      <c r="E43" s="109">
        <f>SUM(E33:E42)</f>
        <v>15703.81</v>
      </c>
      <c r="F43" s="109">
        <f t="shared" si="0"/>
        <v>40609.19</v>
      </c>
      <c r="G43" s="229">
        <f t="shared" si="1"/>
        <v>0.27889999999999998</v>
      </c>
      <c r="H43" s="14">
        <f t="shared" si="2"/>
        <v>0.27889999999999998</v>
      </c>
      <c r="N43" s="4"/>
      <c r="O43" s="4"/>
      <c r="P43" s="4"/>
    </row>
    <row r="44" spans="2:16" s="4" customFormat="1" ht="14.25" customHeight="1" x14ac:dyDescent="0.3">
      <c r="B44" s="238"/>
      <c r="C44" s="233"/>
      <c r="D44" s="114"/>
      <c r="E44" s="114"/>
      <c r="F44" s="114"/>
      <c r="G44" s="243"/>
      <c r="H44" s="14"/>
    </row>
    <row r="45" spans="2:16" s="4" customFormat="1" x14ac:dyDescent="0.3">
      <c r="B45" s="238" t="s">
        <v>1285</v>
      </c>
      <c r="C45" s="233" t="s">
        <v>481</v>
      </c>
      <c r="D45" s="114">
        <f>'[4]Waveney and Blyth'!E45</f>
        <v>3273.5</v>
      </c>
      <c r="E45" s="114">
        <f>'[5]Waveney &amp; Blyth'!D44</f>
        <v>0</v>
      </c>
      <c r="F45" s="114">
        <f t="shared" si="0"/>
        <v>3273.5</v>
      </c>
      <c r="G45" s="243">
        <f t="shared" si="1"/>
        <v>0</v>
      </c>
      <c r="H45" s="14"/>
    </row>
    <row r="46" spans="2:16" s="4" customFormat="1" x14ac:dyDescent="0.3">
      <c r="B46" s="238" t="s">
        <v>1286</v>
      </c>
      <c r="C46" s="233" t="s">
        <v>482</v>
      </c>
      <c r="D46" s="114">
        <f>'[4]Waveney and Blyth'!E46</f>
        <v>3092.5</v>
      </c>
      <c r="E46" s="114">
        <f>'[5]Waveney &amp; Blyth'!D45</f>
        <v>1000</v>
      </c>
      <c r="F46" s="114">
        <f t="shared" si="0"/>
        <v>2092.5</v>
      </c>
      <c r="G46" s="243">
        <f t="shared" si="1"/>
        <v>0.32340000000000002</v>
      </c>
      <c r="H46" s="14"/>
      <c r="N46" s="4" t="s">
        <v>1377</v>
      </c>
      <c r="O46" s="4" t="s">
        <v>1378</v>
      </c>
      <c r="P46" s="4" t="s">
        <v>1380</v>
      </c>
    </row>
    <row r="47" spans="2:16" s="4" customFormat="1" x14ac:dyDescent="0.3">
      <c r="B47" s="238" t="s">
        <v>1287</v>
      </c>
      <c r="C47" s="233" t="s">
        <v>483</v>
      </c>
      <c r="D47" s="114">
        <f>'[4]Waveney and Blyth'!E47</f>
        <v>1964.5</v>
      </c>
      <c r="E47" s="114">
        <f>'[5]Waveney &amp; Blyth'!D46</f>
        <v>0</v>
      </c>
      <c r="F47" s="114">
        <f t="shared" si="0"/>
        <v>1964.5</v>
      </c>
      <c r="G47" s="243">
        <f t="shared" si="1"/>
        <v>0</v>
      </c>
      <c r="H47" s="14"/>
    </row>
    <row r="48" spans="2:16" s="4" customFormat="1" x14ac:dyDescent="0.3">
      <c r="B48" s="238" t="s">
        <v>1288</v>
      </c>
      <c r="C48" s="233" t="s">
        <v>484</v>
      </c>
      <c r="D48" s="114">
        <f>'[4]Waveney and Blyth'!E48</f>
        <v>3092.5</v>
      </c>
      <c r="E48" s="114">
        <f>'[5]Waveney &amp; Blyth'!D47</f>
        <v>1000</v>
      </c>
      <c r="F48" s="114">
        <f t="shared" si="0"/>
        <v>2092.5</v>
      </c>
      <c r="G48" s="243">
        <f t="shared" si="1"/>
        <v>0.32340000000000002</v>
      </c>
      <c r="H48" s="14"/>
      <c r="N48" s="4" t="s">
        <v>1377</v>
      </c>
      <c r="O48" s="4" t="s">
        <v>1378</v>
      </c>
      <c r="P48" s="4" t="s">
        <v>1387</v>
      </c>
    </row>
    <row r="49" spans="2:16" s="4" customFormat="1" x14ac:dyDescent="0.3">
      <c r="B49" s="238" t="s">
        <v>1289</v>
      </c>
      <c r="C49" s="233" t="s">
        <v>485</v>
      </c>
      <c r="D49" s="114">
        <f>'[4]Waveney and Blyth'!E49</f>
        <v>3041.5</v>
      </c>
      <c r="E49" s="114">
        <f>'[5]Waveney &amp; Blyth'!D48</f>
        <v>541.5</v>
      </c>
      <c r="F49" s="114">
        <f t="shared" si="0"/>
        <v>2500</v>
      </c>
      <c r="G49" s="243">
        <f t="shared" si="1"/>
        <v>0.17799999999999999</v>
      </c>
      <c r="H49" s="14"/>
      <c r="N49" s="4" t="s">
        <v>1377</v>
      </c>
      <c r="O49" s="4" t="s">
        <v>1378</v>
      </c>
      <c r="P49" s="4" t="s">
        <v>1387</v>
      </c>
    </row>
    <row r="50" spans="2:16" s="4" customFormat="1" x14ac:dyDescent="0.3">
      <c r="B50" s="238" t="s">
        <v>1290</v>
      </c>
      <c r="C50" s="233" t="s">
        <v>486</v>
      </c>
      <c r="D50" s="114">
        <f>'[4]Waveney and Blyth'!E50</f>
        <v>6133</v>
      </c>
      <c r="E50" s="114">
        <f>'[5]Waveney &amp; Blyth'!D49</f>
        <v>0</v>
      </c>
      <c r="F50" s="114">
        <f t="shared" si="0"/>
        <v>6133</v>
      </c>
      <c r="G50" s="243">
        <f t="shared" si="1"/>
        <v>0</v>
      </c>
      <c r="H50" s="14"/>
    </row>
    <row r="51" spans="2:16" s="4" customFormat="1" x14ac:dyDescent="0.3">
      <c r="B51" s="238" t="s">
        <v>1291</v>
      </c>
      <c r="C51" s="233" t="s">
        <v>487</v>
      </c>
      <c r="D51" s="114">
        <f>'[4]Waveney and Blyth'!E51</f>
        <v>2679.5</v>
      </c>
      <c r="E51" s="114">
        <f>'[5]Waveney &amp; Blyth'!D50</f>
        <v>0</v>
      </c>
      <c r="F51" s="114">
        <f t="shared" si="0"/>
        <v>2679.5</v>
      </c>
      <c r="G51" s="243">
        <f t="shared" si="1"/>
        <v>0</v>
      </c>
      <c r="H51" s="14"/>
      <c r="N51" s="4" t="s">
        <v>1377</v>
      </c>
      <c r="O51" s="4" t="s">
        <v>1378</v>
      </c>
      <c r="P51" s="4" t="s">
        <v>1383</v>
      </c>
    </row>
    <row r="52" spans="2:16" s="4" customFormat="1" x14ac:dyDescent="0.3">
      <c r="B52" s="238" t="s">
        <v>1292</v>
      </c>
      <c r="C52" s="233" t="s">
        <v>488</v>
      </c>
      <c r="D52" s="114">
        <f>'[4]Waveney and Blyth'!E52</f>
        <v>3565.5</v>
      </c>
      <c r="E52" s="114">
        <f>'[5]Waveney &amp; Blyth'!D51</f>
        <v>0</v>
      </c>
      <c r="F52" s="114">
        <f t="shared" si="0"/>
        <v>3565.5</v>
      </c>
      <c r="G52" s="243">
        <f t="shared" si="1"/>
        <v>0</v>
      </c>
      <c r="H52" s="14"/>
      <c r="N52" s="4" t="s">
        <v>1377</v>
      </c>
      <c r="O52" s="4" t="s">
        <v>1378</v>
      </c>
      <c r="P52" s="4" t="s">
        <v>1387</v>
      </c>
    </row>
    <row r="53" spans="2:16" s="4" customFormat="1" x14ac:dyDescent="0.3">
      <c r="B53" s="238" t="s">
        <v>1293</v>
      </c>
      <c r="C53" s="233" t="s">
        <v>489</v>
      </c>
      <c r="D53" s="114">
        <f>'[4]Waveney and Blyth'!E53</f>
        <v>2497.5</v>
      </c>
      <c r="E53" s="114">
        <f>'[5]Waveney &amp; Blyth'!D52</f>
        <v>0</v>
      </c>
      <c r="F53" s="114">
        <f t="shared" si="0"/>
        <v>2497.5</v>
      </c>
      <c r="G53" s="243">
        <f t="shared" si="1"/>
        <v>0</v>
      </c>
      <c r="H53" s="14"/>
      <c r="N53" s="4" t="s">
        <v>1377</v>
      </c>
      <c r="O53" s="4" t="s">
        <v>1378</v>
      </c>
      <c r="P53" s="4" t="s">
        <v>1387</v>
      </c>
    </row>
    <row r="54" spans="2:16" s="4" customFormat="1" x14ac:dyDescent="0.3">
      <c r="B54" s="238" t="s">
        <v>1294</v>
      </c>
      <c r="C54" s="233" t="s">
        <v>490</v>
      </c>
      <c r="D54" s="114">
        <f>'[4]Waveney and Blyth'!E54</f>
        <v>2074.5</v>
      </c>
      <c r="E54" s="114">
        <f>'[5]Waveney &amp; Blyth'!D53</f>
        <v>0</v>
      </c>
      <c r="F54" s="114">
        <f t="shared" si="0"/>
        <v>2074.5</v>
      </c>
      <c r="G54" s="243">
        <f t="shared" si="1"/>
        <v>0</v>
      </c>
      <c r="H54" s="14"/>
      <c r="N54" s="4" t="s">
        <v>1377</v>
      </c>
      <c r="O54" s="4" t="s">
        <v>1378</v>
      </c>
      <c r="P54" s="4" t="s">
        <v>1387</v>
      </c>
    </row>
    <row r="55" spans="2:16" s="4" customFormat="1" x14ac:dyDescent="0.3">
      <c r="B55" s="238" t="s">
        <v>1295</v>
      </c>
      <c r="C55" s="233" t="s">
        <v>491</v>
      </c>
      <c r="D55" s="114">
        <f>'[4]Waveney and Blyth'!E55</f>
        <v>1863.5</v>
      </c>
      <c r="E55" s="114">
        <f>'[5]Waveney &amp; Blyth'!D54</f>
        <v>1000</v>
      </c>
      <c r="F55" s="114">
        <f t="shared" si="0"/>
        <v>863.5</v>
      </c>
      <c r="G55" s="243">
        <f t="shared" si="1"/>
        <v>0.53659999999999997</v>
      </c>
      <c r="H55" s="14"/>
      <c r="N55" s="4" t="s">
        <v>1377</v>
      </c>
      <c r="O55" s="4" t="s">
        <v>1378</v>
      </c>
      <c r="P55" s="4" t="s">
        <v>1383</v>
      </c>
    </row>
    <row r="56" spans="2:16" s="3" customFormat="1" ht="14.5" thickBot="1" x14ac:dyDescent="0.35">
      <c r="B56" s="222" t="s">
        <v>1296</v>
      </c>
      <c r="C56" s="226" t="s">
        <v>616</v>
      </c>
      <c r="D56" s="109">
        <f>SUM(D45:D55)</f>
        <v>33278</v>
      </c>
      <c r="E56" s="109">
        <f>SUM(E45:E55)</f>
        <v>3541.5</v>
      </c>
      <c r="F56" s="109">
        <f t="shared" si="0"/>
        <v>29736.5</v>
      </c>
      <c r="G56" s="229">
        <f t="shared" si="1"/>
        <v>0.10639999999999999</v>
      </c>
      <c r="H56" s="14">
        <f t="shared" si="2"/>
        <v>0.10639999999999999</v>
      </c>
      <c r="N56" s="4"/>
      <c r="O56" s="4"/>
      <c r="P56" s="4"/>
    </row>
    <row r="57" spans="2:16" s="4" customFormat="1" ht="14.25" customHeight="1" x14ac:dyDescent="0.3">
      <c r="B57" s="238"/>
      <c r="C57" s="233"/>
      <c r="D57" s="114"/>
      <c r="E57" s="114"/>
      <c r="F57" s="114"/>
      <c r="G57" s="243"/>
      <c r="H57" s="14"/>
    </row>
    <row r="58" spans="2:16" s="4" customFormat="1" x14ac:dyDescent="0.3">
      <c r="B58" s="238" t="s">
        <v>1297</v>
      </c>
      <c r="C58" s="233" t="s">
        <v>493</v>
      </c>
      <c r="D58" s="114">
        <f>'[4]Waveney and Blyth'!E58</f>
        <v>14026</v>
      </c>
      <c r="E58" s="114">
        <f>'[5]Waveney &amp; Blyth'!D57</f>
        <v>14026</v>
      </c>
      <c r="F58" s="114">
        <f t="shared" si="0"/>
        <v>0</v>
      </c>
      <c r="G58" s="243">
        <f t="shared" si="1"/>
        <v>1</v>
      </c>
      <c r="H58" s="14"/>
      <c r="N58" s="4" t="s">
        <v>1381</v>
      </c>
      <c r="O58" s="4" t="s">
        <v>1378</v>
      </c>
      <c r="P58" s="4" t="s">
        <v>1383</v>
      </c>
    </row>
    <row r="59" spans="2:16" s="4" customFormat="1" x14ac:dyDescent="0.3">
      <c r="B59" s="238" t="s">
        <v>1298</v>
      </c>
      <c r="C59" s="233" t="s">
        <v>494</v>
      </c>
      <c r="D59" s="114">
        <f>'[4]Waveney and Blyth'!E59</f>
        <v>30166</v>
      </c>
      <c r="E59" s="114">
        <f>'[5]Waveney &amp; Blyth'!D58</f>
        <v>15149.5</v>
      </c>
      <c r="F59" s="114">
        <f t="shared" si="0"/>
        <v>15016.5</v>
      </c>
      <c r="G59" s="243">
        <f t="shared" si="1"/>
        <v>0.50219999999999998</v>
      </c>
      <c r="H59" s="14"/>
      <c r="N59" s="4" t="s">
        <v>1377</v>
      </c>
      <c r="O59" s="4" t="s">
        <v>1378</v>
      </c>
      <c r="P59" s="4" t="s">
        <v>1380</v>
      </c>
    </row>
    <row r="60" spans="2:16" s="4" customFormat="1" x14ac:dyDescent="0.3">
      <c r="B60" s="238" t="s">
        <v>1313</v>
      </c>
      <c r="C60" s="233" t="s">
        <v>614</v>
      </c>
      <c r="D60" s="114">
        <f>'[4]Waveney and Blyth'!E60</f>
        <v>700</v>
      </c>
      <c r="E60" s="114">
        <f>'[5]Waveney &amp; Blyth'!D59</f>
        <v>700</v>
      </c>
      <c r="F60" s="114">
        <f t="shared" si="0"/>
        <v>0</v>
      </c>
      <c r="G60" s="243">
        <f t="shared" si="1"/>
        <v>1</v>
      </c>
      <c r="H60" s="14"/>
      <c r="N60" s="4" t="s">
        <v>1377</v>
      </c>
      <c r="O60" s="4" t="s">
        <v>1378</v>
      </c>
      <c r="P60" s="4" t="s">
        <v>1383</v>
      </c>
    </row>
    <row r="61" spans="2:16" s="4" customFormat="1" x14ac:dyDescent="0.3">
      <c r="B61" s="238" t="s">
        <v>1299</v>
      </c>
      <c r="C61" s="233" t="s">
        <v>495</v>
      </c>
      <c r="D61" s="114">
        <f>'[4]Waveney and Blyth'!E61</f>
        <v>2646</v>
      </c>
      <c r="E61" s="114">
        <f>'[5]Waveney &amp; Blyth'!D60</f>
        <v>2646</v>
      </c>
      <c r="F61" s="114">
        <f t="shared" si="0"/>
        <v>0</v>
      </c>
      <c r="G61" s="243">
        <f t="shared" si="1"/>
        <v>1</v>
      </c>
      <c r="H61" s="14"/>
      <c r="N61" t="s">
        <v>1377</v>
      </c>
      <c r="O61" t="s">
        <v>1378</v>
      </c>
      <c r="P61" t="s">
        <v>1383</v>
      </c>
    </row>
    <row r="62" spans="2:16" x14ac:dyDescent="0.3">
      <c r="B62" s="238" t="s">
        <v>1300</v>
      </c>
      <c r="C62" s="233" t="s">
        <v>496</v>
      </c>
      <c r="D62" s="114">
        <f>'[4]Waveney and Blyth'!E62</f>
        <v>60000</v>
      </c>
      <c r="E62" s="114">
        <f>'[5]Waveney &amp; Blyth'!D61</f>
        <v>30000</v>
      </c>
      <c r="F62" s="114">
        <f t="shared" si="0"/>
        <v>30000</v>
      </c>
      <c r="G62" s="243">
        <f t="shared" si="1"/>
        <v>0.5</v>
      </c>
      <c r="H62" s="14"/>
      <c r="N62" s="24" t="s">
        <v>1381</v>
      </c>
      <c r="O62" s="24" t="s">
        <v>1378</v>
      </c>
      <c r="P62" s="24" t="s">
        <v>1380</v>
      </c>
    </row>
    <row r="63" spans="2:16" s="24" customFormat="1" x14ac:dyDescent="0.3">
      <c r="B63" s="238" t="s">
        <v>1314</v>
      </c>
      <c r="C63" s="233" t="s">
        <v>615</v>
      </c>
      <c r="D63" s="114">
        <f>'[4]Waveney and Blyth'!E63</f>
        <v>5266</v>
      </c>
      <c r="E63" s="114">
        <f>'[5]Waveney &amp; Blyth'!D62</f>
        <v>5000</v>
      </c>
      <c r="F63" s="114">
        <f t="shared" si="0"/>
        <v>266</v>
      </c>
      <c r="G63" s="243">
        <f t="shared" si="1"/>
        <v>0.94950000000000001</v>
      </c>
      <c r="H63" s="14"/>
      <c r="N63" t="s">
        <v>1381</v>
      </c>
      <c r="O63" t="s">
        <v>1378</v>
      </c>
      <c r="P63" t="s">
        <v>1383</v>
      </c>
    </row>
    <row r="64" spans="2:16" x14ac:dyDescent="0.3">
      <c r="B64" s="238" t="s">
        <v>1301</v>
      </c>
      <c r="C64" s="233" t="s">
        <v>497</v>
      </c>
      <c r="D64" s="114">
        <f>'[4]Waveney and Blyth'!E64</f>
        <v>17371</v>
      </c>
      <c r="E64" s="114">
        <f>'[5]Waveney &amp; Blyth'!D63</f>
        <v>7000</v>
      </c>
      <c r="F64" s="114">
        <f t="shared" si="0"/>
        <v>10371</v>
      </c>
      <c r="G64" s="243">
        <f t="shared" si="1"/>
        <v>0.40300000000000002</v>
      </c>
      <c r="H64" s="14"/>
      <c r="N64" t="s">
        <v>1381</v>
      </c>
      <c r="O64" t="s">
        <v>1382</v>
      </c>
      <c r="P64" t="s">
        <v>1379</v>
      </c>
    </row>
    <row r="65" spans="2:16" x14ac:dyDescent="0.3">
      <c r="B65" s="238" t="s">
        <v>1302</v>
      </c>
      <c r="C65" s="233" t="s">
        <v>1312</v>
      </c>
      <c r="D65" s="114">
        <f>'[4]Waveney and Blyth'!E65</f>
        <v>8442</v>
      </c>
      <c r="E65" s="114">
        <f>'[5]Waveney &amp; Blyth'!D64</f>
        <v>4222</v>
      </c>
      <c r="F65" s="114">
        <f t="shared" si="0"/>
        <v>4220</v>
      </c>
      <c r="G65" s="243">
        <f t="shared" si="1"/>
        <v>0.50009999999999999</v>
      </c>
      <c r="H65" s="14"/>
      <c r="N65" s="23" t="s">
        <v>1377</v>
      </c>
      <c r="O65" s="23" t="s">
        <v>1378</v>
      </c>
      <c r="P65" s="23"/>
    </row>
    <row r="66" spans="2:16" s="3" customFormat="1" ht="14.5" thickBot="1" x14ac:dyDescent="0.35">
      <c r="B66" s="222" t="s">
        <v>1303</v>
      </c>
      <c r="C66" s="226" t="s">
        <v>498</v>
      </c>
      <c r="D66" s="109">
        <f>SUM(D58:D65)</f>
        <v>138617</v>
      </c>
      <c r="E66" s="109">
        <f>SUM(E58:E65)</f>
        <v>78743.5</v>
      </c>
      <c r="F66" s="109">
        <f t="shared" si="0"/>
        <v>59873.5</v>
      </c>
      <c r="G66" s="229">
        <f t="shared" si="1"/>
        <v>0.56810000000000005</v>
      </c>
      <c r="H66" s="14">
        <f t="shared" si="2"/>
        <v>0.56810000000000005</v>
      </c>
      <c r="N66"/>
      <c r="O66"/>
      <c r="P66"/>
    </row>
    <row r="67" spans="2:16" ht="14.25" customHeight="1" x14ac:dyDescent="0.3">
      <c r="B67" s="275"/>
      <c r="C67" s="172"/>
      <c r="D67" s="276"/>
      <c r="E67" s="276"/>
      <c r="F67" s="276"/>
      <c r="G67" s="188"/>
      <c r="H67" s="14"/>
    </row>
    <row r="68" spans="2:16" x14ac:dyDescent="0.3">
      <c r="B68" s="238" t="s">
        <v>1304</v>
      </c>
      <c r="C68" s="233" t="s">
        <v>499</v>
      </c>
      <c r="D68" s="114">
        <f>'[4]Waveney and Blyth'!E69</f>
        <v>3103</v>
      </c>
      <c r="E68" s="114">
        <f>'[5]Waveney &amp; Blyth'!D67</f>
        <v>2000</v>
      </c>
      <c r="F68" s="114">
        <f t="shared" si="0"/>
        <v>1103</v>
      </c>
      <c r="G68" s="243">
        <f t="shared" si="1"/>
        <v>0.64449999999999996</v>
      </c>
      <c r="H68" s="14"/>
    </row>
    <row r="69" spans="2:16" x14ac:dyDescent="0.3">
      <c r="B69" s="238" t="s">
        <v>1305</v>
      </c>
      <c r="C69" s="233" t="s">
        <v>500</v>
      </c>
      <c r="D69" s="114">
        <f>'[4]Waveney and Blyth'!E70</f>
        <v>2287</v>
      </c>
      <c r="E69" s="114">
        <f>'[5]Waveney &amp; Blyth'!D68</f>
        <v>1287</v>
      </c>
      <c r="F69" s="114">
        <f t="shared" si="0"/>
        <v>1000</v>
      </c>
      <c r="G69" s="243">
        <f t="shared" si="1"/>
        <v>0.56269999999999998</v>
      </c>
      <c r="H69" s="14"/>
      <c r="N69" t="s">
        <v>1377</v>
      </c>
      <c r="O69" t="s">
        <v>1378</v>
      </c>
      <c r="P69" t="s">
        <v>1383</v>
      </c>
    </row>
    <row r="70" spans="2:16" x14ac:dyDescent="0.3">
      <c r="B70" s="238" t="s">
        <v>1306</v>
      </c>
      <c r="C70" s="233" t="s">
        <v>501</v>
      </c>
      <c r="D70" s="114">
        <f>'[4]Waveney and Blyth'!E71</f>
        <v>2123</v>
      </c>
      <c r="E70" s="114">
        <f>'[5]Waveney &amp; Blyth'!D69</f>
        <v>700</v>
      </c>
      <c r="F70" s="114">
        <f t="shared" si="0"/>
        <v>1423</v>
      </c>
      <c r="G70" s="243">
        <f t="shared" si="1"/>
        <v>0.32969999999999999</v>
      </c>
      <c r="H70" s="14"/>
      <c r="N70" t="s">
        <v>1381</v>
      </c>
      <c r="O70" t="s">
        <v>1382</v>
      </c>
      <c r="P70" t="s">
        <v>1379</v>
      </c>
    </row>
    <row r="71" spans="2:16" x14ac:dyDescent="0.3">
      <c r="B71" s="238" t="s">
        <v>1307</v>
      </c>
      <c r="C71" s="233" t="s">
        <v>502</v>
      </c>
      <c r="D71" s="114">
        <f>'[4]Waveney and Blyth'!E72</f>
        <v>2613</v>
      </c>
      <c r="E71" s="114">
        <f>'[5]Waveney &amp; Blyth'!D70</f>
        <v>0</v>
      </c>
      <c r="F71" s="114">
        <f t="shared" si="0"/>
        <v>2613</v>
      </c>
      <c r="G71" s="243">
        <f t="shared" si="1"/>
        <v>0</v>
      </c>
      <c r="H71" s="14"/>
      <c r="N71" s="11"/>
      <c r="O71" s="11"/>
      <c r="P71" s="11"/>
    </row>
    <row r="72" spans="2:16" s="11" customFormat="1" ht="28.5" thickBot="1" x14ac:dyDescent="0.35">
      <c r="B72" s="248" t="s">
        <v>1308</v>
      </c>
      <c r="C72" s="249" t="s">
        <v>503</v>
      </c>
      <c r="D72" s="250">
        <f>SUM(D68:D71)</f>
        <v>10126</v>
      </c>
      <c r="E72" s="250">
        <f>SUM(E68:E71)</f>
        <v>3987</v>
      </c>
      <c r="F72" s="250">
        <f t="shared" si="0"/>
        <v>6139</v>
      </c>
      <c r="G72" s="229">
        <f t="shared" si="1"/>
        <v>0.39369999999999999</v>
      </c>
      <c r="H72" s="92">
        <f t="shared" si="2"/>
        <v>0.39369999999999999</v>
      </c>
      <c r="N72"/>
      <c r="O72"/>
      <c r="P72"/>
    </row>
    <row r="73" spans="2:16" ht="14.25" customHeight="1" x14ac:dyDescent="0.3">
      <c r="B73" s="275"/>
      <c r="C73" s="172"/>
      <c r="D73" s="276"/>
      <c r="E73" s="276"/>
      <c r="F73" s="276"/>
      <c r="G73" s="188"/>
      <c r="H73" s="14"/>
    </row>
    <row r="74" spans="2:16" x14ac:dyDescent="0.3">
      <c r="B74" s="275" t="s">
        <v>1309</v>
      </c>
      <c r="C74" s="172" t="s">
        <v>504</v>
      </c>
      <c r="D74" s="114">
        <f>'[4]Waveney and Blyth'!$E$75</f>
        <v>10700</v>
      </c>
      <c r="E74" s="114">
        <f>'[5]Waveney &amp; Blyth'!D73</f>
        <v>0</v>
      </c>
      <c r="F74" s="114">
        <f t="shared" ref="F74:F75" si="4">D74-E74</f>
        <v>10700</v>
      </c>
      <c r="G74" s="188">
        <f t="shared" ref="G74:G75" si="5">ROUND((E74/D74),4)</f>
        <v>0</v>
      </c>
      <c r="H74" s="14"/>
    </row>
    <row r="75" spans="2:16" x14ac:dyDescent="0.3">
      <c r="B75" s="280" t="s">
        <v>1310</v>
      </c>
      <c r="C75" s="181" t="s">
        <v>505</v>
      </c>
      <c r="D75" s="145">
        <f>'[4]Waveney and Blyth'!$E$76</f>
        <v>21393</v>
      </c>
      <c r="E75" s="114">
        <f>'[5]Waveney &amp; Blyth'!D74</f>
        <v>1000</v>
      </c>
      <c r="F75" s="145">
        <f t="shared" si="4"/>
        <v>20393</v>
      </c>
      <c r="G75" s="188">
        <f t="shared" si="5"/>
        <v>4.6699999999999998E-2</v>
      </c>
      <c r="H75" s="14"/>
      <c r="N75" s="3"/>
      <c r="O75" s="3"/>
      <c r="P75" s="3"/>
    </row>
    <row r="76" spans="2:16" s="3" customFormat="1" ht="14.5" thickBot="1" x14ac:dyDescent="0.35">
      <c r="B76" s="124" t="s">
        <v>1311</v>
      </c>
      <c r="C76" s="99" t="s">
        <v>506</v>
      </c>
      <c r="D76" s="110">
        <f>SUM(D74:D75)</f>
        <v>32093</v>
      </c>
      <c r="E76" s="110">
        <f>SUM(E74:E75)</f>
        <v>1000</v>
      </c>
      <c r="F76" s="110">
        <f t="shared" si="0"/>
        <v>31093</v>
      </c>
      <c r="G76" s="137">
        <f t="shared" si="1"/>
        <v>3.1199999999999999E-2</v>
      </c>
      <c r="H76" s="92">
        <f t="shared" si="2"/>
        <v>3.1199999999999999E-2</v>
      </c>
      <c r="N76"/>
      <c r="O76"/>
      <c r="P76"/>
    </row>
    <row r="77" spans="2:16" s="3" customFormat="1" x14ac:dyDescent="0.3">
      <c r="B77" s="129"/>
      <c r="C77" s="96"/>
      <c r="D77" s="113"/>
      <c r="E77" s="113"/>
      <c r="F77" s="113"/>
      <c r="G77" s="156"/>
      <c r="H77" s="92"/>
      <c r="N77" s="24"/>
      <c r="O77" s="24"/>
      <c r="P77" s="24"/>
    </row>
    <row r="78" spans="2:16" s="3" customFormat="1" x14ac:dyDescent="0.3">
      <c r="B78" s="129"/>
      <c r="C78" s="24" t="s">
        <v>1636</v>
      </c>
      <c r="D78" s="113">
        <f>'[4]Waveney and Blyth'!$E$83+369</f>
        <v>-896</v>
      </c>
      <c r="E78" s="113"/>
      <c r="F78" s="113"/>
      <c r="G78" s="156"/>
      <c r="H78" s="92"/>
      <c r="N78" s="24"/>
      <c r="O78" s="24"/>
      <c r="P78" s="24"/>
    </row>
    <row r="79" spans="2:16" ht="14.25" customHeight="1" x14ac:dyDescent="0.3">
      <c r="B79" s="123"/>
      <c r="C79" s="89"/>
      <c r="D79" s="90"/>
      <c r="E79" s="90"/>
      <c r="F79" s="90"/>
      <c r="G79" s="157"/>
      <c r="N79" s="3"/>
      <c r="O79" s="3"/>
      <c r="P79" s="3"/>
    </row>
    <row r="80" spans="2:16" s="3" customFormat="1" ht="15" customHeight="1" thickBot="1" x14ac:dyDescent="0.35">
      <c r="B80" s="124"/>
      <c r="C80" s="99" t="s">
        <v>58</v>
      </c>
      <c r="D80" s="110">
        <f>SUM(D76,D72,D66,D56,D43,D31,D21,D8,D26+D78)</f>
        <v>537464</v>
      </c>
      <c r="E80" s="110">
        <f>SUM(E76,E72,E66,E56,E43,E31,E21,E8,E26)</f>
        <v>171793.81</v>
      </c>
      <c r="F80" s="110">
        <f>SUM(F76,F72,F66,F56,F43,F31,F21,F8,F26)</f>
        <v>366566.19</v>
      </c>
      <c r="G80" s="136">
        <f t="shared" ref="G80" si="6">ROUND((E80/D80),4)</f>
        <v>0.3196</v>
      </c>
      <c r="N80" s="24"/>
      <c r="O80" s="24"/>
      <c r="P80" s="24"/>
    </row>
    <row r="81" spans="2:16" s="24" customFormat="1" ht="15" customHeight="1" x14ac:dyDescent="0.3">
      <c r="B81" s="160"/>
      <c r="C81" s="89"/>
      <c r="D81" s="90"/>
      <c r="E81" s="90"/>
      <c r="F81" s="90"/>
      <c r="G81" s="134"/>
      <c r="N81"/>
      <c r="O81"/>
      <c r="P81"/>
    </row>
    <row r="82" spans="2:16" ht="14.5" thickBot="1" x14ac:dyDescent="0.35">
      <c r="B82" s="124"/>
      <c r="C82" s="99" t="s">
        <v>1630</v>
      </c>
      <c r="D82" s="110">
        <f>'[7]Waveney &amp; Blyth'!$D$77</f>
        <v>514588</v>
      </c>
      <c r="E82" s="110">
        <v>226481</v>
      </c>
      <c r="F82" s="110">
        <f>D82-E82</f>
        <v>288107</v>
      </c>
      <c r="G82" s="136">
        <f>E82/D82</f>
        <v>0.4401210288619245</v>
      </c>
    </row>
    <row r="84" spans="2:16" x14ac:dyDescent="0.3">
      <c r="D84" s="630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&amp;L&amp;D&amp;R&amp;Z&amp;F</oddFooter>
  </headerFooter>
  <rowBreaks count="1" manualBreakCount="1">
    <brk id="56" min="2" max="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T56"/>
  <sheetViews>
    <sheetView topLeftCell="A25" zoomScaleNormal="100" workbookViewId="0">
      <selection activeCell="A28" sqref="A28"/>
    </sheetView>
  </sheetViews>
  <sheetFormatPr defaultRowHeight="14" x14ac:dyDescent="0.3"/>
  <cols>
    <col min="1" max="1" width="9" style="24"/>
    <col min="2" max="2" width="10.83203125" style="24" bestFit="1" customWidth="1"/>
    <col min="3" max="3" width="41.75" bestFit="1" customWidth="1"/>
    <col min="4" max="6" width="12" bestFit="1" customWidth="1"/>
    <col min="7" max="7" width="12.5" style="8" bestFit="1" customWidth="1"/>
    <col min="8" max="10" width="9" hidden="1" customWidth="1"/>
    <col min="11" max="11" width="20.08203125" hidden="1" customWidth="1"/>
    <col min="12" max="12" width="9" hidden="1" customWidth="1"/>
    <col min="13" max="13" width="2.08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11.33203125" customWidth="1"/>
    <col min="19" max="19" width="11.33203125" bestFit="1" customWidth="1"/>
    <col min="20" max="20" width="9" customWidth="1"/>
    <col min="21" max="21" width="13.08203125" customWidth="1"/>
    <col min="22" max="22" width="13.5" customWidth="1"/>
    <col min="23" max="23" width="12.75" customWidth="1"/>
    <col min="24" max="24" width="11.25" customWidth="1"/>
  </cols>
  <sheetData>
    <row r="1" spans="2:16" s="24" customFormat="1" ht="14.5" thickBot="1" x14ac:dyDescent="0.35">
      <c r="B1" s="295"/>
      <c r="C1" s="295"/>
      <c r="D1" s="295"/>
      <c r="E1" s="295"/>
      <c r="F1" s="295"/>
      <c r="G1" s="296"/>
    </row>
    <row r="2" spans="2:16" s="2" customFormat="1" ht="22.5" customHeight="1" thickBot="1" x14ac:dyDescent="0.5">
      <c r="B2" s="297"/>
      <c r="C2" s="324" t="str">
        <f>Summary!A1</f>
        <v>Parish Share 2020</v>
      </c>
      <c r="D2" s="299"/>
      <c r="E2" s="299"/>
      <c r="F2" s="299"/>
      <c r="G2" s="300"/>
      <c r="N2" s="2" t="s">
        <v>565</v>
      </c>
    </row>
    <row r="3" spans="2:16" ht="14.25" customHeight="1" thickBot="1" x14ac:dyDescent="0.35">
      <c r="B3" s="287"/>
      <c r="C3" s="301"/>
      <c r="D3" s="301"/>
      <c r="E3" s="301"/>
      <c r="F3" s="301"/>
      <c r="G3" s="188"/>
      <c r="J3" s="13" t="s">
        <v>554</v>
      </c>
      <c r="K3" s="24" t="s">
        <v>555</v>
      </c>
      <c r="L3" s="13">
        <f>COUNTIF(H8:H70,"&gt;1")</f>
        <v>0</v>
      </c>
    </row>
    <row r="4" spans="2:16" s="3" customFormat="1" ht="18" thickBot="1" x14ac:dyDescent="0.4">
      <c r="B4" s="302"/>
      <c r="C4" s="325" t="s">
        <v>507</v>
      </c>
      <c r="D4" s="643">
        <f>Period</f>
        <v>44043</v>
      </c>
      <c r="E4" s="643"/>
      <c r="F4" s="304"/>
      <c r="G4" s="305"/>
      <c r="J4" s="13"/>
      <c r="K4" s="24" t="s">
        <v>553</v>
      </c>
      <c r="L4" s="13">
        <f>COUNTIF(H8:H70,1)</f>
        <v>0</v>
      </c>
    </row>
    <row r="5" spans="2:16" s="3" customFormat="1" ht="14.5" thickBot="1" x14ac:dyDescent="0.35">
      <c r="B5" s="287"/>
      <c r="C5" s="301"/>
      <c r="D5" s="301"/>
      <c r="E5" s="301"/>
      <c r="F5" s="301"/>
      <c r="G5" s="188"/>
      <c r="J5" s="24"/>
      <c r="K5" s="24" t="s">
        <v>1551</v>
      </c>
      <c r="L5" s="13">
        <f>COUNTIFS(H8:H70,"&gt;="&amp;Target,H8:H70,"&lt;"&amp;1)</f>
        <v>1</v>
      </c>
    </row>
    <row r="6" spans="2:16" s="3" customFormat="1" ht="14.25" customHeight="1" thickBot="1" x14ac:dyDescent="0.35">
      <c r="B6" s="306" t="s">
        <v>603</v>
      </c>
      <c r="C6" s="307" t="s">
        <v>29</v>
      </c>
      <c r="D6" s="307" t="s">
        <v>1</v>
      </c>
      <c r="E6" s="307" t="s">
        <v>2</v>
      </c>
      <c r="F6" s="307" t="s">
        <v>3</v>
      </c>
      <c r="G6" s="308" t="s">
        <v>4</v>
      </c>
      <c r="H6" s="3" t="s">
        <v>563</v>
      </c>
      <c r="J6" s="13"/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244"/>
      <c r="C7" s="240"/>
      <c r="D7" s="240"/>
      <c r="E7" s="240"/>
      <c r="F7" s="240"/>
      <c r="G7" s="246"/>
      <c r="J7" s="3"/>
      <c r="K7" s="24" t="s">
        <v>557</v>
      </c>
      <c r="L7" s="13">
        <v>0</v>
      </c>
    </row>
    <row r="8" spans="2:16" s="4" customFormat="1" x14ac:dyDescent="0.3">
      <c r="B8" s="238" t="s">
        <v>1317</v>
      </c>
      <c r="C8" s="233" t="s">
        <v>510</v>
      </c>
      <c r="D8" s="114">
        <f>[4]Woodbridge!$E$14</f>
        <v>46953</v>
      </c>
      <c r="E8" s="114">
        <f>[5]Woodbridge!D14</f>
        <v>21153</v>
      </c>
      <c r="F8" s="114">
        <f t="shared" ref="F8:F47" si="0">D8-E8</f>
        <v>25800</v>
      </c>
      <c r="G8" s="243">
        <f t="shared" ref="G8:G51" si="1">ROUND((E8/D8),4)</f>
        <v>0.45050000000000001</v>
      </c>
      <c r="H8" s="16"/>
      <c r="N8" s="4" t="s">
        <v>1381</v>
      </c>
      <c r="O8" s="4" t="s">
        <v>1382</v>
      </c>
      <c r="P8" s="4" t="s">
        <v>1379</v>
      </c>
    </row>
    <row r="9" spans="2:16" s="4" customFormat="1" x14ac:dyDescent="0.3">
      <c r="B9" s="230" t="s">
        <v>1318</v>
      </c>
      <c r="C9" s="247" t="s">
        <v>511</v>
      </c>
      <c r="D9" s="145">
        <f>[4]Woodbridge!$E$15</f>
        <v>24410</v>
      </c>
      <c r="E9" s="145">
        <f>[5]Woodbridge!D15</f>
        <v>7500</v>
      </c>
      <c r="F9" s="145">
        <f t="shared" si="0"/>
        <v>16910</v>
      </c>
      <c r="G9" s="243">
        <f t="shared" si="1"/>
        <v>0.30730000000000002</v>
      </c>
      <c r="H9" s="16"/>
      <c r="N9" s="4" t="s">
        <v>1377</v>
      </c>
      <c r="O9" s="4" t="s">
        <v>1378</v>
      </c>
      <c r="P9" s="4" t="s">
        <v>1379</v>
      </c>
    </row>
    <row r="10" spans="2:16" s="3" customFormat="1" ht="14.5" thickBot="1" x14ac:dyDescent="0.35">
      <c r="B10" s="267" t="s">
        <v>1319</v>
      </c>
      <c r="C10" s="253" t="s">
        <v>512</v>
      </c>
      <c r="D10" s="254">
        <f>SUM(D8:D9)</f>
        <v>71363</v>
      </c>
      <c r="E10" s="254">
        <f>SUM(E8:E9)</f>
        <v>28653</v>
      </c>
      <c r="F10" s="254">
        <f t="shared" si="0"/>
        <v>42710</v>
      </c>
      <c r="G10" s="229">
        <f t="shared" si="1"/>
        <v>0.40150000000000002</v>
      </c>
      <c r="H10" s="14">
        <f t="shared" ref="H10:H49" si="2">G10</f>
        <v>0.40150000000000002</v>
      </c>
    </row>
    <row r="11" spans="2:16" s="4" customFormat="1" ht="14.25" customHeight="1" x14ac:dyDescent="0.3">
      <c r="B11" s="244"/>
      <c r="C11" s="240"/>
      <c r="D11" s="245"/>
      <c r="E11" s="245"/>
      <c r="F11" s="245"/>
      <c r="G11" s="246"/>
      <c r="H11" s="16"/>
    </row>
    <row r="12" spans="2:16" s="4" customFormat="1" x14ac:dyDescent="0.3">
      <c r="B12" s="238" t="s">
        <v>1320</v>
      </c>
      <c r="C12" s="233" t="s">
        <v>513</v>
      </c>
      <c r="D12" s="114">
        <f>[4]Woodbridge!E18</f>
        <v>2904</v>
      </c>
      <c r="E12" s="114">
        <f>[5]Woodbridge!D18</f>
        <v>1694</v>
      </c>
      <c r="F12" s="114">
        <f t="shared" si="0"/>
        <v>1210</v>
      </c>
      <c r="G12" s="243">
        <f t="shared" si="1"/>
        <v>0.58330000000000004</v>
      </c>
      <c r="H12" s="16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1321</v>
      </c>
      <c r="C13" s="233" t="s">
        <v>514</v>
      </c>
      <c r="D13" s="114">
        <f>[4]Woodbridge!E19</f>
        <v>2215</v>
      </c>
      <c r="E13" s="114">
        <f>[5]Woodbridge!D19</f>
        <v>1108</v>
      </c>
      <c r="F13" s="114">
        <f t="shared" si="0"/>
        <v>1107</v>
      </c>
      <c r="G13" s="243">
        <f t="shared" si="1"/>
        <v>0.50019999999999998</v>
      </c>
      <c r="H13" s="16"/>
      <c r="N13" s="4" t="s">
        <v>1377</v>
      </c>
      <c r="O13" s="4" t="s">
        <v>1378</v>
      </c>
      <c r="P13" s="4" t="s">
        <v>1380</v>
      </c>
    </row>
    <row r="14" spans="2:16" s="4" customFormat="1" x14ac:dyDescent="0.3">
      <c r="B14" s="238" t="s">
        <v>1322</v>
      </c>
      <c r="C14" s="233" t="s">
        <v>515</v>
      </c>
      <c r="D14" s="114">
        <f>[4]Woodbridge!E20</f>
        <v>6610</v>
      </c>
      <c r="E14" s="114">
        <f>[5]Woodbridge!D20</f>
        <v>3772.74</v>
      </c>
      <c r="F14" s="114">
        <f t="shared" si="0"/>
        <v>2837.26</v>
      </c>
      <c r="G14" s="243">
        <f t="shared" si="1"/>
        <v>0.57079999999999997</v>
      </c>
      <c r="H14" s="16"/>
      <c r="N14" s="4" t="s">
        <v>1381</v>
      </c>
      <c r="O14" s="4" t="s">
        <v>1382</v>
      </c>
      <c r="P14" s="4" t="s">
        <v>1379</v>
      </c>
    </row>
    <row r="15" spans="2:16" s="4" customFormat="1" x14ac:dyDescent="0.3">
      <c r="B15" s="238" t="s">
        <v>1323</v>
      </c>
      <c r="C15" s="233" t="s">
        <v>516</v>
      </c>
      <c r="D15" s="114">
        <f>[4]Woodbridge!E21</f>
        <v>2819</v>
      </c>
      <c r="E15" s="114">
        <f>[5]Woodbridge!D21</f>
        <v>1596</v>
      </c>
      <c r="F15" s="114">
        <f t="shared" si="0"/>
        <v>1223</v>
      </c>
      <c r="G15" s="243">
        <f t="shared" si="1"/>
        <v>0.56620000000000004</v>
      </c>
      <c r="H15" s="16"/>
      <c r="N15" s="4" t="s">
        <v>1381</v>
      </c>
      <c r="O15" s="4" t="s">
        <v>1382</v>
      </c>
      <c r="P15" s="4" t="s">
        <v>1379</v>
      </c>
    </row>
    <row r="16" spans="2:16" s="4" customFormat="1" x14ac:dyDescent="0.3">
      <c r="B16" s="238" t="s">
        <v>1315</v>
      </c>
      <c r="C16" s="233" t="s">
        <v>508</v>
      </c>
      <c r="D16" s="114">
        <f>[4]Woodbridge!E22</f>
        <v>1858</v>
      </c>
      <c r="E16" s="114">
        <f>[5]Woodbridge!$D$8</f>
        <v>1858</v>
      </c>
      <c r="F16" s="114">
        <f t="shared" si="0"/>
        <v>0</v>
      </c>
      <c r="G16" s="243">
        <f t="shared" si="1"/>
        <v>1</v>
      </c>
      <c r="H16" s="16"/>
    </row>
    <row r="17" spans="2:20" s="4" customFormat="1" x14ac:dyDescent="0.3">
      <c r="B17" s="238" t="s">
        <v>1324</v>
      </c>
      <c r="C17" s="233" t="s">
        <v>517</v>
      </c>
      <c r="D17" s="114">
        <f>[4]Woodbridge!E23</f>
        <v>27949</v>
      </c>
      <c r="E17" s="114">
        <f>[5]Woodbridge!D22</f>
        <v>16304</v>
      </c>
      <c r="F17" s="114">
        <f t="shared" si="0"/>
        <v>11645</v>
      </c>
      <c r="G17" s="243">
        <f t="shared" si="1"/>
        <v>0.58330000000000004</v>
      </c>
      <c r="H17" s="16"/>
      <c r="N17" s="4" t="s">
        <v>1381</v>
      </c>
      <c r="O17" s="4" t="s">
        <v>1382</v>
      </c>
      <c r="P17" s="4" t="s">
        <v>1379</v>
      </c>
    </row>
    <row r="18" spans="2:20" s="4" customFormat="1" x14ac:dyDescent="0.3">
      <c r="B18" s="238" t="s">
        <v>1325</v>
      </c>
      <c r="C18" s="233" t="s">
        <v>518</v>
      </c>
      <c r="D18" s="114">
        <f>[4]Woodbridge!E24</f>
        <v>17676</v>
      </c>
      <c r="E18" s="114">
        <f>[5]Woodbridge!D23</f>
        <v>10311</v>
      </c>
      <c r="F18" s="114">
        <f t="shared" si="0"/>
        <v>7365</v>
      </c>
      <c r="G18" s="243">
        <f t="shared" si="1"/>
        <v>0.58330000000000004</v>
      </c>
      <c r="H18" s="16"/>
      <c r="N18" s="4" t="s">
        <v>1384</v>
      </c>
      <c r="O18" s="4" t="s">
        <v>1382</v>
      </c>
      <c r="P18" s="4" t="s">
        <v>1379</v>
      </c>
    </row>
    <row r="19" spans="2:20" s="4" customFormat="1" x14ac:dyDescent="0.3">
      <c r="B19" s="238" t="s">
        <v>1326</v>
      </c>
      <c r="C19" s="233" t="s">
        <v>519</v>
      </c>
      <c r="D19" s="114">
        <f>[4]Woodbridge!E25</f>
        <v>5367</v>
      </c>
      <c r="E19" s="114">
        <f>[5]Woodbridge!D24</f>
        <v>3129.5</v>
      </c>
      <c r="F19" s="114">
        <f t="shared" si="0"/>
        <v>2237.5</v>
      </c>
      <c r="G19" s="243">
        <f t="shared" si="1"/>
        <v>0.58309999999999995</v>
      </c>
      <c r="H19" s="16"/>
      <c r="N19" s="4" t="s">
        <v>1381</v>
      </c>
      <c r="O19" s="4" t="s">
        <v>1378</v>
      </c>
      <c r="P19" s="4" t="s">
        <v>1379</v>
      </c>
    </row>
    <row r="20" spans="2:20" s="4" customFormat="1" x14ac:dyDescent="0.3">
      <c r="B20" s="230" t="s">
        <v>1349</v>
      </c>
      <c r="C20" s="247" t="s">
        <v>520</v>
      </c>
      <c r="D20" s="114">
        <f>[4]Woodbridge!E26</f>
        <v>2904</v>
      </c>
      <c r="E20" s="114">
        <f>[5]Woodbridge!D25</f>
        <v>1210</v>
      </c>
      <c r="F20" s="145">
        <f t="shared" si="0"/>
        <v>1694</v>
      </c>
      <c r="G20" s="243">
        <f t="shared" si="1"/>
        <v>0.41670000000000001</v>
      </c>
      <c r="H20" s="16"/>
      <c r="N20" s="4" t="s">
        <v>1381</v>
      </c>
      <c r="O20" s="4" t="s">
        <v>1382</v>
      </c>
      <c r="P20" s="4" t="s">
        <v>1379</v>
      </c>
    </row>
    <row r="21" spans="2:20" s="3" customFormat="1" ht="14.5" thickBot="1" x14ac:dyDescent="0.35">
      <c r="B21" s="222" t="s">
        <v>1327</v>
      </c>
      <c r="C21" s="226" t="s">
        <v>521</v>
      </c>
      <c r="D21" s="109">
        <f>SUM(D12:D20)</f>
        <v>70302</v>
      </c>
      <c r="E21" s="109">
        <f>SUM(E12:E20)</f>
        <v>40983.24</v>
      </c>
      <c r="F21" s="109">
        <f t="shared" si="0"/>
        <v>29318.760000000002</v>
      </c>
      <c r="G21" s="229">
        <f t="shared" si="1"/>
        <v>0.58299999999999996</v>
      </c>
      <c r="H21" s="14">
        <f t="shared" si="2"/>
        <v>0.58299999999999996</v>
      </c>
    </row>
    <row r="22" spans="2:20" s="4" customFormat="1" ht="14.25" customHeight="1" thickBot="1" x14ac:dyDescent="0.35">
      <c r="B22" s="244"/>
      <c r="C22" s="240"/>
      <c r="D22" s="245"/>
      <c r="E22" s="245"/>
      <c r="F22" s="245"/>
      <c r="G22" s="246"/>
      <c r="H22" s="16"/>
    </row>
    <row r="23" spans="2:20" s="4" customFormat="1" x14ac:dyDescent="0.3">
      <c r="B23" s="294" t="s">
        <v>1328</v>
      </c>
      <c r="C23" s="242" t="s">
        <v>522</v>
      </c>
      <c r="D23" s="415">
        <f>[4]Woodbridge!E29</f>
        <v>16080</v>
      </c>
      <c r="E23" s="415">
        <f>[5]Woodbridge!D28</f>
        <v>10280</v>
      </c>
      <c r="F23" s="415">
        <f t="shared" ref="F23:F40" si="3">D23-E23</f>
        <v>5800</v>
      </c>
      <c r="G23" s="618">
        <f t="shared" ref="G23:G41" si="4">ROUND((E23/D23),4)</f>
        <v>0.63929999999999998</v>
      </c>
      <c r="H23" s="16"/>
      <c r="N23" s="4" t="s">
        <v>1381</v>
      </c>
      <c r="O23" s="4" t="s">
        <v>1382</v>
      </c>
      <c r="P23" s="4" t="s">
        <v>1379</v>
      </c>
      <c r="R23" s="586">
        <v>16000</v>
      </c>
      <c r="S23" s="586">
        <v>17214</v>
      </c>
      <c r="T23" s="586">
        <f t="shared" ref="T23:T40" si="5">R23-S23</f>
        <v>-1214</v>
      </c>
    </row>
    <row r="24" spans="2:20" s="4" customFormat="1" x14ac:dyDescent="0.3">
      <c r="B24" s="238" t="s">
        <v>1329</v>
      </c>
      <c r="C24" s="233" t="s">
        <v>523</v>
      </c>
      <c r="D24" s="114">
        <f>[4]Woodbridge!E30</f>
        <v>5025</v>
      </c>
      <c r="E24" s="114">
        <f>[5]Woodbridge!D29</f>
        <v>2500</v>
      </c>
      <c r="F24" s="114">
        <f t="shared" si="3"/>
        <v>2525</v>
      </c>
      <c r="G24" s="243">
        <f t="shared" si="4"/>
        <v>0.4975</v>
      </c>
      <c r="H24" s="16"/>
      <c r="N24" s="4" t="s">
        <v>1381</v>
      </c>
      <c r="O24" s="4" t="s">
        <v>1378</v>
      </c>
      <c r="P24" s="4" t="s">
        <v>1383</v>
      </c>
      <c r="R24" s="586">
        <v>5000</v>
      </c>
      <c r="S24" s="586">
        <v>5000</v>
      </c>
      <c r="T24" s="586">
        <f t="shared" si="5"/>
        <v>0</v>
      </c>
    </row>
    <row r="25" spans="2:20" s="4" customFormat="1" x14ac:dyDescent="0.3">
      <c r="B25" s="238" t="s">
        <v>1330</v>
      </c>
      <c r="C25" s="233" t="s">
        <v>524</v>
      </c>
      <c r="D25" s="114">
        <f>[4]Woodbridge!E31</f>
        <v>4020</v>
      </c>
      <c r="E25" s="114">
        <f>[5]Woodbridge!D30</f>
        <v>0</v>
      </c>
      <c r="F25" s="114">
        <f t="shared" si="3"/>
        <v>4020</v>
      </c>
      <c r="G25" s="243">
        <f t="shared" si="4"/>
        <v>0</v>
      </c>
      <c r="H25" s="16"/>
      <c r="R25" s="586">
        <v>4000</v>
      </c>
      <c r="S25" s="586">
        <v>4000</v>
      </c>
      <c r="T25" s="586">
        <f t="shared" si="5"/>
        <v>0</v>
      </c>
    </row>
    <row r="26" spans="2:20" s="4" customFormat="1" x14ac:dyDescent="0.3">
      <c r="B26" s="238" t="s">
        <v>1331</v>
      </c>
      <c r="C26" s="233" t="s">
        <v>525</v>
      </c>
      <c r="D26" s="114">
        <f>[4]Woodbridge!E32</f>
        <v>10658</v>
      </c>
      <c r="E26" s="114">
        <f>[5]Woodbridge!D31</f>
        <v>5858</v>
      </c>
      <c r="F26" s="114">
        <f t="shared" si="3"/>
        <v>4800</v>
      </c>
      <c r="G26" s="243">
        <f t="shared" si="4"/>
        <v>0.54959999999999998</v>
      </c>
      <c r="H26" s="16"/>
      <c r="N26" s="4" t="s">
        <v>1381</v>
      </c>
      <c r="O26" s="4" t="s">
        <v>1382</v>
      </c>
      <c r="P26" s="4" t="s">
        <v>1379</v>
      </c>
      <c r="R26" s="586">
        <v>10605</v>
      </c>
      <c r="S26" s="586">
        <v>11605</v>
      </c>
      <c r="T26" s="586">
        <f t="shared" si="5"/>
        <v>-1000</v>
      </c>
    </row>
    <row r="27" spans="2:20" s="4" customFormat="1" x14ac:dyDescent="0.3">
      <c r="B27" s="238" t="s">
        <v>1332</v>
      </c>
      <c r="C27" s="233" t="s">
        <v>526</v>
      </c>
      <c r="D27" s="114">
        <f>[4]Woodbridge!E33</f>
        <v>4895</v>
      </c>
      <c r="E27" s="114">
        <f>[5]Woodbridge!D32</f>
        <v>2500</v>
      </c>
      <c r="F27" s="114">
        <f t="shared" si="3"/>
        <v>2395</v>
      </c>
      <c r="G27" s="243">
        <f t="shared" si="4"/>
        <v>0.51070000000000004</v>
      </c>
      <c r="H27" s="16"/>
      <c r="N27" s="4" t="s">
        <v>1377</v>
      </c>
      <c r="O27" s="4" t="s">
        <v>1378</v>
      </c>
      <c r="P27" s="4" t="s">
        <v>1380</v>
      </c>
      <c r="R27" s="586">
        <v>4787</v>
      </c>
      <c r="S27" s="586">
        <v>4787</v>
      </c>
      <c r="T27" s="586">
        <f t="shared" si="5"/>
        <v>0</v>
      </c>
    </row>
    <row r="28" spans="2:20" s="4" customFormat="1" x14ac:dyDescent="0.3">
      <c r="B28" s="238" t="s">
        <v>1333</v>
      </c>
      <c r="C28" s="233" t="s">
        <v>527</v>
      </c>
      <c r="D28" s="114">
        <f>[4]Woodbridge!E34</f>
        <v>6395</v>
      </c>
      <c r="E28" s="114">
        <f>[5]Woodbridge!D33</f>
        <v>5395</v>
      </c>
      <c r="F28" s="114">
        <f t="shared" si="3"/>
        <v>1000</v>
      </c>
      <c r="G28" s="243">
        <f t="shared" si="4"/>
        <v>0.84360000000000002</v>
      </c>
      <c r="H28" s="16"/>
      <c r="N28" s="4" t="s">
        <v>1377</v>
      </c>
      <c r="O28" s="4" t="s">
        <v>1378</v>
      </c>
      <c r="P28" s="4" t="s">
        <v>1383</v>
      </c>
      <c r="R28" s="586">
        <v>6383</v>
      </c>
      <c r="S28" s="586">
        <v>6383</v>
      </c>
      <c r="T28" s="586">
        <f t="shared" si="5"/>
        <v>0</v>
      </c>
    </row>
    <row r="29" spans="2:20" s="4" customFormat="1" x14ac:dyDescent="0.3">
      <c r="B29" s="238" t="s">
        <v>1334</v>
      </c>
      <c r="C29" s="233" t="s">
        <v>547</v>
      </c>
      <c r="D29" s="114">
        <f>[4]Woodbridge!E35</f>
        <v>12918</v>
      </c>
      <c r="E29" s="114">
        <f>[5]Woodbridge!D34</f>
        <v>3000</v>
      </c>
      <c r="F29" s="114">
        <f t="shared" si="3"/>
        <v>9918</v>
      </c>
      <c r="G29" s="243">
        <f t="shared" si="4"/>
        <v>0.23219999999999999</v>
      </c>
      <c r="H29" s="16"/>
      <c r="N29" s="4" t="s">
        <v>1377</v>
      </c>
      <c r="O29" s="4" t="s">
        <v>1378</v>
      </c>
      <c r="P29" s="4" t="s">
        <v>1387</v>
      </c>
      <c r="R29" s="586">
        <v>12854</v>
      </c>
      <c r="S29" s="586">
        <v>12854</v>
      </c>
      <c r="T29" s="586">
        <f t="shared" si="5"/>
        <v>0</v>
      </c>
    </row>
    <row r="30" spans="2:20" s="4" customFormat="1" x14ac:dyDescent="0.3">
      <c r="B30" s="238" t="s">
        <v>1335</v>
      </c>
      <c r="C30" s="233" t="s">
        <v>528</v>
      </c>
      <c r="D30" s="114">
        <f>[4]Woodbridge!E36</f>
        <v>14899</v>
      </c>
      <c r="E30" s="114">
        <f>[5]Woodbridge!D35</f>
        <v>6000</v>
      </c>
      <c r="F30" s="114">
        <f t="shared" si="3"/>
        <v>8899</v>
      </c>
      <c r="G30" s="243">
        <f t="shared" si="4"/>
        <v>0.4027</v>
      </c>
      <c r="H30" s="16"/>
      <c r="N30" s="4" t="s">
        <v>1377</v>
      </c>
      <c r="O30" s="4" t="s">
        <v>1378</v>
      </c>
      <c r="P30" s="4" t="s">
        <v>1387</v>
      </c>
      <c r="R30" s="586">
        <v>14825</v>
      </c>
      <c r="S30" s="586">
        <v>14825</v>
      </c>
      <c r="T30" s="586">
        <f t="shared" si="5"/>
        <v>0</v>
      </c>
    </row>
    <row r="31" spans="2:20" s="4" customFormat="1" x14ac:dyDescent="0.3">
      <c r="B31" s="238" t="s">
        <v>1336</v>
      </c>
      <c r="C31" s="233" t="s">
        <v>529</v>
      </c>
      <c r="D31" s="114">
        <f>[4]Woodbridge!E37</f>
        <v>6395</v>
      </c>
      <c r="E31" s="114">
        <f>[5]Woodbridge!D36</f>
        <v>3745</v>
      </c>
      <c r="F31" s="114">
        <f t="shared" si="3"/>
        <v>2650</v>
      </c>
      <c r="G31" s="243">
        <f t="shared" si="4"/>
        <v>0.58560000000000001</v>
      </c>
      <c r="H31" s="16"/>
      <c r="N31" s="4" t="s">
        <v>1381</v>
      </c>
      <c r="O31" s="4" t="s">
        <v>1382</v>
      </c>
      <c r="P31" s="4" t="s">
        <v>1379</v>
      </c>
      <c r="R31" s="586">
        <v>6383</v>
      </c>
      <c r="S31" s="586">
        <v>7384</v>
      </c>
      <c r="T31" s="586">
        <f t="shared" si="5"/>
        <v>-1001</v>
      </c>
    </row>
    <row r="32" spans="2:20" s="4" customFormat="1" x14ac:dyDescent="0.3">
      <c r="B32" s="611" t="s">
        <v>1337</v>
      </c>
      <c r="C32" s="606" t="s">
        <v>530</v>
      </c>
      <c r="D32" s="612">
        <f>[4]Woodbridge!E38</f>
        <v>28777</v>
      </c>
      <c r="E32" s="612">
        <f>[5]Woodbridge!D37</f>
        <v>16800</v>
      </c>
      <c r="F32" s="612">
        <f t="shared" si="3"/>
        <v>11977</v>
      </c>
      <c r="G32" s="607">
        <f t="shared" si="4"/>
        <v>0.58379999999999999</v>
      </c>
      <c r="H32" s="16"/>
      <c r="N32" s="4" t="s">
        <v>1381</v>
      </c>
      <c r="O32" s="4" t="s">
        <v>1378</v>
      </c>
      <c r="P32" s="4" t="s">
        <v>1379</v>
      </c>
      <c r="R32" s="586">
        <v>28723</v>
      </c>
      <c r="S32" s="586">
        <v>29723</v>
      </c>
      <c r="T32" s="586">
        <f t="shared" si="5"/>
        <v>-1000</v>
      </c>
    </row>
    <row r="33" spans="2:20" s="4" customFormat="1" x14ac:dyDescent="0.3">
      <c r="B33" s="611" t="s">
        <v>1338</v>
      </c>
      <c r="C33" s="606" t="s">
        <v>531</v>
      </c>
      <c r="D33" s="612">
        <f>[4]Woodbridge!E39</f>
        <v>6030</v>
      </c>
      <c r="E33" s="612">
        <f>[5]Woodbridge!D38</f>
        <v>6030</v>
      </c>
      <c r="F33" s="612">
        <f t="shared" si="3"/>
        <v>0</v>
      </c>
      <c r="G33" s="607">
        <f t="shared" si="4"/>
        <v>1</v>
      </c>
      <c r="H33" s="16"/>
      <c r="N33" s="4" t="s">
        <v>1377</v>
      </c>
      <c r="O33" s="4" t="s">
        <v>1378</v>
      </c>
      <c r="P33" s="4" t="s">
        <v>1383</v>
      </c>
      <c r="R33" s="586">
        <v>6000</v>
      </c>
      <c r="S33" s="586">
        <v>7500</v>
      </c>
      <c r="T33" s="586">
        <f t="shared" si="5"/>
        <v>-1500</v>
      </c>
    </row>
    <row r="34" spans="2:20" s="4" customFormat="1" x14ac:dyDescent="0.3">
      <c r="B34" s="238" t="s">
        <v>1339</v>
      </c>
      <c r="C34" s="233" t="s">
        <v>532</v>
      </c>
      <c r="D34" s="612">
        <f>[4]Woodbridge!E40</f>
        <v>16000</v>
      </c>
      <c r="E34" s="114">
        <f>[5]Woodbridge!D39</f>
        <v>8000</v>
      </c>
      <c r="F34" s="114">
        <f t="shared" si="3"/>
        <v>8000</v>
      </c>
      <c r="G34" s="243">
        <f t="shared" si="4"/>
        <v>0.5</v>
      </c>
      <c r="H34" s="16"/>
      <c r="N34" s="4" t="s">
        <v>1377</v>
      </c>
      <c r="O34" s="4" t="s">
        <v>1378</v>
      </c>
      <c r="P34" s="4" t="s">
        <v>1380</v>
      </c>
      <c r="R34" s="586">
        <v>15000</v>
      </c>
      <c r="S34" s="586">
        <f>3750*3</f>
        <v>11250</v>
      </c>
      <c r="T34" s="586">
        <f t="shared" si="5"/>
        <v>3750</v>
      </c>
    </row>
    <row r="35" spans="2:20" s="4" customFormat="1" x14ac:dyDescent="0.3">
      <c r="B35" s="238" t="s">
        <v>1340</v>
      </c>
      <c r="C35" s="233" t="s">
        <v>533</v>
      </c>
      <c r="D35" s="612">
        <f>[4]Woodbridge!E41</f>
        <v>5025</v>
      </c>
      <c r="E35" s="114">
        <f>[5]Woodbridge!D40</f>
        <v>700</v>
      </c>
      <c r="F35" s="114">
        <f t="shared" si="3"/>
        <v>4325</v>
      </c>
      <c r="G35" s="243">
        <f t="shared" si="4"/>
        <v>0.13930000000000001</v>
      </c>
      <c r="H35" s="16"/>
      <c r="N35" s="4" t="s">
        <v>1381</v>
      </c>
      <c r="O35" s="4" t="s">
        <v>1382</v>
      </c>
      <c r="P35" s="4" t="s">
        <v>1379</v>
      </c>
      <c r="R35" s="586">
        <v>5000</v>
      </c>
      <c r="S35" s="586">
        <v>5500</v>
      </c>
      <c r="T35" s="586">
        <f t="shared" si="5"/>
        <v>-500</v>
      </c>
    </row>
    <row r="36" spans="2:20" s="4" customFormat="1" x14ac:dyDescent="0.3">
      <c r="B36" s="238" t="s">
        <v>1341</v>
      </c>
      <c r="C36" s="233" t="s">
        <v>534</v>
      </c>
      <c r="D36" s="612">
        <f>[4]Woodbridge!E42</f>
        <v>11191</v>
      </c>
      <c r="E36" s="114">
        <f>[5]Woodbridge!D41</f>
        <v>6551</v>
      </c>
      <c r="F36" s="114">
        <f t="shared" si="3"/>
        <v>4640</v>
      </c>
      <c r="G36" s="243">
        <f t="shared" si="4"/>
        <v>0.58540000000000003</v>
      </c>
      <c r="H36" s="16"/>
      <c r="N36" s="4" t="s">
        <v>1381</v>
      </c>
      <c r="O36" s="4" t="s">
        <v>1382</v>
      </c>
      <c r="P36" s="4" t="s">
        <v>1379</v>
      </c>
      <c r="R36" s="586">
        <v>11170</v>
      </c>
      <c r="S36" s="586">
        <v>11420</v>
      </c>
      <c r="T36" s="586">
        <f t="shared" si="5"/>
        <v>-250</v>
      </c>
    </row>
    <row r="37" spans="2:20" s="4" customFormat="1" x14ac:dyDescent="0.3">
      <c r="B37" s="238" t="s">
        <v>1342</v>
      </c>
      <c r="C37" s="233" t="s">
        <v>536</v>
      </c>
      <c r="D37" s="612">
        <f>[4]Woodbridge!E43</f>
        <v>14372</v>
      </c>
      <c r="E37" s="114">
        <f>[5]Woodbridge!D42</f>
        <v>7186</v>
      </c>
      <c r="F37" s="114">
        <f t="shared" si="3"/>
        <v>7186</v>
      </c>
      <c r="G37" s="243">
        <f t="shared" si="4"/>
        <v>0.5</v>
      </c>
      <c r="H37" s="16"/>
      <c r="N37" s="4" t="s">
        <v>1377</v>
      </c>
      <c r="O37" s="4" t="s">
        <v>1378</v>
      </c>
      <c r="P37" s="4" t="s">
        <v>1380</v>
      </c>
      <c r="R37" s="586">
        <v>14300</v>
      </c>
      <c r="S37" s="586">
        <v>15300</v>
      </c>
      <c r="T37" s="586">
        <f t="shared" si="5"/>
        <v>-1000</v>
      </c>
    </row>
    <row r="38" spans="2:20" s="4" customFormat="1" x14ac:dyDescent="0.3">
      <c r="B38" s="238" t="s">
        <v>1343</v>
      </c>
      <c r="C38" s="233" t="s">
        <v>535</v>
      </c>
      <c r="D38" s="612">
        <f>[4]Woodbridge!E44</f>
        <v>5328</v>
      </c>
      <c r="E38" s="114">
        <f>[5]Woodbridge!D43</f>
        <v>2500</v>
      </c>
      <c r="F38" s="114">
        <f t="shared" si="3"/>
        <v>2828</v>
      </c>
      <c r="G38" s="243">
        <f t="shared" si="4"/>
        <v>0.46920000000000001</v>
      </c>
      <c r="H38" s="16"/>
      <c r="N38" s="4" t="s">
        <v>1381</v>
      </c>
      <c r="O38" s="4" t="s">
        <v>1382</v>
      </c>
      <c r="P38" s="4" t="s">
        <v>1379</v>
      </c>
      <c r="R38" s="586">
        <v>5319</v>
      </c>
      <c r="S38" s="586">
        <v>5319</v>
      </c>
      <c r="T38" s="586">
        <f t="shared" si="5"/>
        <v>0</v>
      </c>
    </row>
    <row r="39" spans="2:20" s="4" customFormat="1" x14ac:dyDescent="0.3">
      <c r="B39" s="238" t="s">
        <v>1612</v>
      </c>
      <c r="C39" s="233" t="s">
        <v>1611</v>
      </c>
      <c r="D39" s="612">
        <f>[4]Woodbridge!E45</f>
        <v>633</v>
      </c>
      <c r="E39" s="114">
        <f>[5]Woodbridge!D44</f>
        <v>200</v>
      </c>
      <c r="F39" s="114">
        <f t="shared" si="3"/>
        <v>433</v>
      </c>
      <c r="G39" s="243">
        <f t="shared" si="4"/>
        <v>0.316</v>
      </c>
      <c r="H39" s="16"/>
      <c r="R39" s="586">
        <v>0</v>
      </c>
      <c r="S39" s="586">
        <v>0</v>
      </c>
      <c r="T39" s="586">
        <f t="shared" si="5"/>
        <v>0</v>
      </c>
    </row>
    <row r="40" spans="2:20" s="4" customFormat="1" x14ac:dyDescent="0.3">
      <c r="B40" s="230" t="s">
        <v>1344</v>
      </c>
      <c r="C40" s="145" t="s">
        <v>1616</v>
      </c>
      <c r="D40" s="619">
        <f>[4]Woodbridge!E46</f>
        <v>721</v>
      </c>
      <c r="E40" s="145">
        <f>[5]Woodbridge!D45</f>
        <v>0</v>
      </c>
      <c r="F40" s="145">
        <f t="shared" si="3"/>
        <v>721</v>
      </c>
      <c r="G40" s="241">
        <f t="shared" si="4"/>
        <v>0</v>
      </c>
      <c r="H40" s="16"/>
      <c r="R40" s="586">
        <v>13796</v>
      </c>
      <c r="S40" s="586">
        <v>3250</v>
      </c>
      <c r="T40" s="586">
        <f t="shared" si="5"/>
        <v>10546</v>
      </c>
    </row>
    <row r="41" spans="2:20" s="3" customFormat="1" ht="14.5" thickBot="1" x14ac:dyDescent="0.35">
      <c r="B41" s="267" t="s">
        <v>1344</v>
      </c>
      <c r="C41" s="253" t="s">
        <v>537</v>
      </c>
      <c r="D41" s="254">
        <f>SUM(D23:D40)</f>
        <v>169362</v>
      </c>
      <c r="E41" s="254">
        <f>SUM(E23:E40)</f>
        <v>87245</v>
      </c>
      <c r="F41" s="254">
        <f>SUM(F23:F40)</f>
        <v>82117</v>
      </c>
      <c r="G41" s="229">
        <f t="shared" si="4"/>
        <v>0.5151</v>
      </c>
      <c r="H41" s="14">
        <f t="shared" si="2"/>
        <v>0.5151</v>
      </c>
      <c r="R41" s="588">
        <f>SUM(R23:R40)</f>
        <v>180145</v>
      </c>
      <c r="S41" s="588">
        <f t="shared" ref="S41:T41" si="6">SUM(S23:S40)</f>
        <v>173314</v>
      </c>
      <c r="T41" s="588">
        <f t="shared" si="6"/>
        <v>6831</v>
      </c>
    </row>
    <row r="42" spans="2:20" s="4" customFormat="1" ht="14.25" customHeight="1" x14ac:dyDescent="0.3">
      <c r="B42" s="244"/>
      <c r="C42" s="240"/>
      <c r="D42" s="245"/>
      <c r="E42" s="245"/>
      <c r="F42" s="245"/>
      <c r="G42" s="246"/>
      <c r="H42" s="16"/>
      <c r="R42" s="587"/>
      <c r="S42" s="587"/>
      <c r="T42" s="587"/>
    </row>
    <row r="43" spans="2:20" s="4" customFormat="1" x14ac:dyDescent="0.3">
      <c r="B43" s="238" t="s">
        <v>1345</v>
      </c>
      <c r="C43" s="233" t="s">
        <v>538</v>
      </c>
      <c r="D43" s="114">
        <f>[4]Woodbridge!$E$50</f>
        <v>12293</v>
      </c>
      <c r="E43" s="114">
        <f>[5]Woodbridge!$D$48</f>
        <v>3074</v>
      </c>
      <c r="F43" s="114">
        <f t="shared" si="0"/>
        <v>9219</v>
      </c>
      <c r="G43" s="243">
        <f t="shared" si="1"/>
        <v>0.25009999999999999</v>
      </c>
      <c r="H43" s="16"/>
      <c r="N43" s="4" t="s">
        <v>1377</v>
      </c>
      <c r="O43" s="4" t="s">
        <v>1378</v>
      </c>
      <c r="P43" s="4" t="s">
        <v>1380</v>
      </c>
    </row>
    <row r="44" spans="2:20" s="4" customFormat="1" x14ac:dyDescent="0.3">
      <c r="B44" s="230" t="s">
        <v>1346</v>
      </c>
      <c r="C44" s="247" t="s">
        <v>539</v>
      </c>
      <c r="D44" s="145">
        <f>[4]Woodbridge!$E$51</f>
        <v>76234</v>
      </c>
      <c r="E44" s="114">
        <f>[5]Woodbridge!$D$49</f>
        <v>44474</v>
      </c>
      <c r="F44" s="145">
        <f t="shared" si="0"/>
        <v>31760</v>
      </c>
      <c r="G44" s="243">
        <f t="shared" si="1"/>
        <v>0.58340000000000003</v>
      </c>
      <c r="H44" s="16"/>
      <c r="N44" s="4" t="s">
        <v>1381</v>
      </c>
      <c r="O44" s="4" t="s">
        <v>1382</v>
      </c>
      <c r="P44" s="4" t="s">
        <v>1379</v>
      </c>
    </row>
    <row r="45" spans="2:20" s="3" customFormat="1" ht="14.5" thickBot="1" x14ac:dyDescent="0.35">
      <c r="B45" s="222" t="s">
        <v>1347</v>
      </c>
      <c r="C45" s="226" t="s">
        <v>540</v>
      </c>
      <c r="D45" s="109">
        <f>SUM(D43:D44)</f>
        <v>88527</v>
      </c>
      <c r="E45" s="109">
        <f>SUM(E43:E44)</f>
        <v>47548</v>
      </c>
      <c r="F45" s="109">
        <f t="shared" si="0"/>
        <v>40979</v>
      </c>
      <c r="G45" s="229">
        <f t="shared" si="1"/>
        <v>0.53710000000000002</v>
      </c>
      <c r="H45" s="14">
        <f t="shared" si="2"/>
        <v>0.53710000000000002</v>
      </c>
    </row>
    <row r="46" spans="2:20" s="4" customFormat="1" ht="14.25" customHeight="1" x14ac:dyDescent="0.3">
      <c r="B46" s="622"/>
      <c r="C46" s="622"/>
      <c r="D46" s="623"/>
      <c r="E46" s="623"/>
      <c r="F46" s="415"/>
      <c r="G46" s="188"/>
      <c r="H46" s="16"/>
    </row>
    <row r="47" spans="2:20" s="4" customFormat="1" ht="14.25" customHeight="1" x14ac:dyDescent="0.3">
      <c r="B47" s="621" t="s">
        <v>1348</v>
      </c>
      <c r="C47" s="621" t="s">
        <v>541</v>
      </c>
      <c r="D47" s="114">
        <f>[4]Woodbridge!$E$54</f>
        <v>75282</v>
      </c>
      <c r="E47" s="114">
        <f>[5]Woodbridge!$D$52</f>
        <v>45010</v>
      </c>
      <c r="F47" s="114">
        <f t="shared" si="0"/>
        <v>30272</v>
      </c>
      <c r="G47" s="243">
        <f t="shared" si="1"/>
        <v>0.59789999999999999</v>
      </c>
      <c r="H47" s="16"/>
    </row>
    <row r="48" spans="2:20" s="4" customFormat="1" ht="14.25" customHeight="1" x14ac:dyDescent="0.3">
      <c r="B48" s="620" t="s">
        <v>1316</v>
      </c>
      <c r="C48" s="620" t="s">
        <v>509</v>
      </c>
      <c r="D48" s="114">
        <f>[4]Woodbridge!$C$55</f>
        <v>0</v>
      </c>
      <c r="E48" s="114">
        <v>0</v>
      </c>
      <c r="F48" s="114">
        <v>0</v>
      </c>
      <c r="G48" s="188"/>
      <c r="H48" s="16"/>
    </row>
    <row r="49" spans="2:16" s="3" customFormat="1" ht="14.5" thickBot="1" x14ac:dyDescent="0.35">
      <c r="B49" s="222" t="s">
        <v>1348</v>
      </c>
      <c r="C49" s="226" t="s">
        <v>541</v>
      </c>
      <c r="D49" s="109">
        <f>SUM(D47:D48)</f>
        <v>75282</v>
      </c>
      <c r="E49" s="109">
        <f>SUM(E47:E48)</f>
        <v>45010</v>
      </c>
      <c r="F49" s="109">
        <f t="shared" ref="F49" si="7">D49-E49</f>
        <v>30272</v>
      </c>
      <c r="G49" s="229">
        <f t="shared" ref="G49" si="8">ROUND((E49/D49),4)</f>
        <v>0.59789999999999999</v>
      </c>
      <c r="H49" s="14">
        <f t="shared" si="2"/>
        <v>0.59789999999999999</v>
      </c>
      <c r="N49" s="4" t="s">
        <v>1381</v>
      </c>
      <c r="O49" s="4" t="s">
        <v>1382</v>
      </c>
      <c r="P49" s="4" t="s">
        <v>1379</v>
      </c>
    </row>
    <row r="50" spans="2:16" s="4" customFormat="1" ht="14.25" customHeight="1" x14ac:dyDescent="0.3">
      <c r="B50" s="126"/>
      <c r="C50" s="97"/>
      <c r="D50" s="111"/>
      <c r="E50" s="111"/>
      <c r="F50" s="111"/>
      <c r="G50" s="135"/>
    </row>
    <row r="51" spans="2:16" s="3" customFormat="1" ht="14.5" thickBot="1" x14ac:dyDescent="0.35">
      <c r="B51" s="124"/>
      <c r="C51" s="99" t="s">
        <v>58</v>
      </c>
      <c r="D51" s="110">
        <f>SUM(D49,D45,D41,D21,D10)</f>
        <v>474836</v>
      </c>
      <c r="E51" s="110">
        <f t="shared" ref="E51:F51" si="9">SUM(E49,E45,E41,E21,E10)</f>
        <v>249439.24</v>
      </c>
      <c r="F51" s="110">
        <f t="shared" si="9"/>
        <v>225396.76</v>
      </c>
      <c r="G51" s="229">
        <f t="shared" si="1"/>
        <v>0.52529999999999999</v>
      </c>
    </row>
    <row r="52" spans="2:16" s="4" customFormat="1" ht="14.25" customHeight="1" x14ac:dyDescent="0.3">
      <c r="B52" s="126"/>
      <c r="C52" s="97"/>
      <c r="D52" s="111"/>
      <c r="E52" s="111"/>
      <c r="F52" s="111"/>
      <c r="G52" s="134"/>
    </row>
    <row r="53" spans="2:16" s="4" customFormat="1" ht="14.5" thickBot="1" x14ac:dyDescent="0.35">
      <c r="B53" s="124"/>
      <c r="C53" s="99" t="s">
        <v>1630</v>
      </c>
      <c r="D53" s="110">
        <f>[7]Woodbridge!$D$55</f>
        <v>515937</v>
      </c>
      <c r="E53" s="110">
        <v>290961</v>
      </c>
      <c r="F53" s="110">
        <f>D53-E53</f>
        <v>224976</v>
      </c>
      <c r="G53" s="136">
        <f>E53/D53</f>
        <v>0.5639467609417429</v>
      </c>
    </row>
    <row r="54" spans="2:16" s="4" customFormat="1" x14ac:dyDescent="0.3">
      <c r="G54" s="9"/>
    </row>
    <row r="55" spans="2:16" s="4" customFormat="1" x14ac:dyDescent="0.3">
      <c r="G55" s="9"/>
    </row>
    <row r="56" spans="2:16" s="4" customFormat="1" x14ac:dyDescent="0.3">
      <c r="G56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9"/>
  <sheetViews>
    <sheetView topLeftCell="A11" zoomScaleNormal="100" workbookViewId="0">
      <selection activeCell="D21" sqref="D21"/>
    </sheetView>
  </sheetViews>
  <sheetFormatPr defaultRowHeight="14" x14ac:dyDescent="0.3"/>
  <cols>
    <col min="1" max="1" width="22.33203125" customWidth="1"/>
    <col min="2" max="2" width="21.83203125" customWidth="1"/>
    <col min="3" max="3" width="13.25" bestFit="1" customWidth="1"/>
    <col min="4" max="4" width="22" customWidth="1"/>
    <col min="5" max="5" width="18" customWidth="1"/>
    <col min="6" max="6" width="19" customWidth="1"/>
    <col min="7" max="7" width="17.33203125" style="24" customWidth="1"/>
    <col min="8" max="8" width="24.5" style="24" customWidth="1"/>
    <col min="9" max="9" width="19.33203125" customWidth="1"/>
    <col min="10" max="10" width="21.83203125" customWidth="1"/>
  </cols>
  <sheetData>
    <row r="1" spans="1:5" s="24" customFormat="1" x14ac:dyDescent="0.3"/>
    <row r="2" spans="1:5" ht="14.25" customHeight="1" x14ac:dyDescent="0.3">
      <c r="A2" s="640" t="s">
        <v>570</v>
      </c>
      <c r="B2" s="640"/>
    </row>
    <row r="3" spans="1:5" s="24" customFormat="1" ht="21" customHeight="1" x14ac:dyDescent="0.3">
      <c r="A3" s="3"/>
    </row>
    <row r="4" spans="1:5" ht="21" customHeight="1" x14ac:dyDescent="0.3">
      <c r="A4" s="641" t="s">
        <v>566</v>
      </c>
      <c r="B4" s="641" t="s">
        <v>568</v>
      </c>
      <c r="C4" s="641" t="s">
        <v>2</v>
      </c>
      <c r="D4" s="641" t="s">
        <v>567</v>
      </c>
      <c r="E4" s="641" t="s">
        <v>569</v>
      </c>
    </row>
    <row r="5" spans="1:5" ht="21" customHeight="1" x14ac:dyDescent="0.3">
      <c r="A5" s="641"/>
      <c r="B5" s="641"/>
      <c r="C5" s="641"/>
      <c r="D5" s="641"/>
      <c r="E5" s="641"/>
    </row>
    <row r="6" spans="1:5" ht="21" customHeight="1" x14ac:dyDescent="0.3">
      <c r="A6" s="641"/>
      <c r="B6" s="641"/>
      <c r="C6" s="641"/>
      <c r="D6" s="641"/>
      <c r="E6" s="641"/>
    </row>
    <row r="7" spans="1:5" ht="21" customHeight="1" x14ac:dyDescent="0.3">
      <c r="A7" s="47">
        <v>2014</v>
      </c>
      <c r="B7" s="27">
        <v>6524474</v>
      </c>
      <c r="C7" s="421">
        <v>5087244.7700000005</v>
      </c>
      <c r="D7" s="28">
        <f>C7/B7</f>
        <v>0.77971722624689754</v>
      </c>
      <c r="E7" s="29"/>
    </row>
    <row r="8" spans="1:5" ht="21" customHeight="1" x14ac:dyDescent="0.3">
      <c r="A8" s="47">
        <v>2015</v>
      </c>
      <c r="B8" s="27">
        <v>6733593</v>
      </c>
      <c r="C8" s="421">
        <v>5263651.43</v>
      </c>
      <c r="D8" s="28">
        <f t="shared" ref="D8:D10" si="0">C8/B8</f>
        <v>0.78170026462840858</v>
      </c>
      <c r="E8" s="27">
        <f>C8-C7</f>
        <v>176406.65999999922</v>
      </c>
    </row>
    <row r="9" spans="1:5" ht="21" customHeight="1" x14ac:dyDescent="0.3">
      <c r="A9" s="47">
        <v>2016</v>
      </c>
      <c r="B9" s="27">
        <v>6930735</v>
      </c>
      <c r="C9" s="421">
        <v>5575516.790000001</v>
      </c>
      <c r="D9" s="28">
        <f t="shared" si="0"/>
        <v>0.80446255555868185</v>
      </c>
      <c r="E9" s="27">
        <f>C9-C8</f>
        <v>311865.36000000127</v>
      </c>
    </row>
    <row r="10" spans="1:5" ht="21" customHeight="1" x14ac:dyDescent="0.3">
      <c r="A10" s="47">
        <v>2017</v>
      </c>
      <c r="B10" s="27">
        <v>6961327</v>
      </c>
      <c r="C10" s="27">
        <v>5547290.8200000003</v>
      </c>
      <c r="D10" s="28">
        <f t="shared" si="0"/>
        <v>0.79687261063874748</v>
      </c>
      <c r="E10" s="27">
        <f>C10-C9</f>
        <v>-28225.970000000671</v>
      </c>
    </row>
    <row r="11" spans="1:5" s="24" customFormat="1" ht="21" customHeight="1" x14ac:dyDescent="0.3">
      <c r="A11" s="47">
        <v>2018</v>
      </c>
      <c r="B11" s="27">
        <v>7103355</v>
      </c>
      <c r="C11" s="27">
        <v>5578813</v>
      </c>
      <c r="D11" s="28">
        <f t="shared" ref="D11" si="1">C11/B11</f>
        <v>0.78537719148205321</v>
      </c>
      <c r="E11" s="27">
        <f>C11-C10</f>
        <v>31522.179999999702</v>
      </c>
    </row>
    <row r="12" spans="1:5" s="24" customFormat="1" ht="21" customHeight="1" x14ac:dyDescent="0.3">
      <c r="A12" s="55">
        <v>2019</v>
      </c>
      <c r="B12" s="27">
        <v>7194477</v>
      </c>
      <c r="C12" s="27">
        <f>Summary!E37</f>
        <v>3006827.12</v>
      </c>
      <c r="D12" s="28">
        <f t="shared" ref="D12" si="2">C12/B12</f>
        <v>0.41793546911054136</v>
      </c>
      <c r="E12" s="27">
        <f>C12-C11</f>
        <v>-2571985.88</v>
      </c>
    </row>
    <row r="13" spans="1:5" ht="21" customHeight="1" x14ac:dyDescent="0.3">
      <c r="A13" s="25"/>
      <c r="B13" s="25"/>
      <c r="C13" s="25"/>
      <c r="D13" s="23"/>
    </row>
    <row r="14" spans="1:5" ht="21" customHeight="1" x14ac:dyDescent="0.3">
      <c r="A14" s="30"/>
      <c r="B14" s="26"/>
      <c r="C14" s="26"/>
      <c r="D14" s="26"/>
    </row>
    <row r="15" spans="1:5" ht="14.25" customHeight="1" x14ac:dyDescent="0.3">
      <c r="A15" s="189" t="s">
        <v>1546</v>
      </c>
      <c r="B15" s="189" t="s">
        <v>1547</v>
      </c>
      <c r="C15" s="639" t="s">
        <v>1613</v>
      </c>
      <c r="D15" s="639"/>
      <c r="E15" s="639"/>
    </row>
    <row r="16" spans="1:5" s="24" customFormat="1" ht="14.25" customHeight="1" x14ac:dyDescent="0.3">
      <c r="A16" s="22"/>
      <c r="B16" s="22"/>
      <c r="C16" s="22"/>
    </row>
    <row r="17" spans="1:10" s="24" customFormat="1" ht="14.25" customHeight="1" thickBot="1" x14ac:dyDescent="0.35">
      <c r="A17" s="22"/>
      <c r="B17" s="22"/>
      <c r="C17" s="22"/>
    </row>
    <row r="18" spans="1:10" s="24" customFormat="1" ht="14.25" customHeight="1" x14ac:dyDescent="0.3">
      <c r="A18" s="193"/>
      <c r="B18" s="194" t="s">
        <v>1548</v>
      </c>
      <c r="C18" s="194" t="s">
        <v>1549</v>
      </c>
      <c r="D18" s="194" t="s">
        <v>1553</v>
      </c>
      <c r="E18" s="194" t="s">
        <v>1554</v>
      </c>
      <c r="F18" s="194" t="s">
        <v>1545</v>
      </c>
      <c r="G18" s="195" t="s">
        <v>1550</v>
      </c>
      <c r="H18" s="190"/>
    </row>
    <row r="19" spans="1:10" s="24" customFormat="1" ht="14.25" customHeight="1" x14ac:dyDescent="0.3">
      <c r="A19" s="196" t="s">
        <v>14</v>
      </c>
      <c r="B19" s="91"/>
      <c r="C19" s="91"/>
      <c r="D19" s="91"/>
      <c r="E19" s="91"/>
      <c r="F19" s="91"/>
      <c r="G19" s="197"/>
    </row>
    <row r="20" spans="1:10" ht="14.25" customHeight="1" x14ac:dyDescent="0.3">
      <c r="A20" s="118"/>
      <c r="B20" s="91"/>
      <c r="C20" s="198"/>
      <c r="D20" s="91"/>
      <c r="E20" s="91"/>
      <c r="F20" s="91"/>
      <c r="G20" s="197"/>
    </row>
    <row r="21" spans="1:10" ht="14.25" customHeight="1" x14ac:dyDescent="0.3">
      <c r="A21" s="202" t="s">
        <v>5</v>
      </c>
      <c r="B21" s="203">
        <f>'Bosmere '!L3</f>
        <v>0</v>
      </c>
      <c r="C21" s="203">
        <f>'Bosmere '!L4</f>
        <v>0</v>
      </c>
      <c r="D21" s="203">
        <f>'Bosmere '!L5</f>
        <v>1</v>
      </c>
      <c r="E21" s="203">
        <f>'Bosmere '!L6</f>
        <v>4</v>
      </c>
      <c r="F21" s="203">
        <f>'Bosmere '!L7</f>
        <v>0</v>
      </c>
      <c r="G21" s="218">
        <f>SUM(B21:F21)</f>
        <v>5</v>
      </c>
      <c r="H21" s="191"/>
      <c r="I21" s="191"/>
      <c r="J21" s="191"/>
    </row>
    <row r="22" spans="1:10" ht="14.25" customHeight="1" x14ac:dyDescent="0.3">
      <c r="A22" s="202" t="s">
        <v>6</v>
      </c>
      <c r="B22" s="203">
        <f>Clare!L3</f>
        <v>0</v>
      </c>
      <c r="C22" s="205">
        <f>Clare!L4</f>
        <v>0</v>
      </c>
      <c r="D22" s="205">
        <f>Clare!L5</f>
        <v>1</v>
      </c>
      <c r="E22" s="203">
        <f>Clare!L6</f>
        <v>4</v>
      </c>
      <c r="F22" s="203">
        <f>Clare!L7</f>
        <v>0</v>
      </c>
      <c r="G22" s="218">
        <f t="shared" ref="G22:G29" si="3">SUM(B22:F22)</f>
        <v>5</v>
      </c>
      <c r="H22" s="191"/>
      <c r="I22" s="191"/>
      <c r="J22" s="191"/>
    </row>
    <row r="23" spans="1:10" ht="14.25" customHeight="1" x14ac:dyDescent="0.3">
      <c r="A23" s="202" t="s">
        <v>7</v>
      </c>
      <c r="B23" s="203">
        <f>Hadleigh!L3</f>
        <v>0</v>
      </c>
      <c r="C23" s="205">
        <f>Hadleigh!L4</f>
        <v>1</v>
      </c>
      <c r="D23" s="205">
        <f>Hadleigh!L5</f>
        <v>0</v>
      </c>
      <c r="E23" s="203">
        <f>Hadleigh!L6</f>
        <v>4</v>
      </c>
      <c r="F23" s="203">
        <f>Hadleigh!L7</f>
        <v>0</v>
      </c>
      <c r="G23" s="218">
        <f t="shared" si="3"/>
        <v>5</v>
      </c>
      <c r="H23" s="191"/>
      <c r="I23" s="191"/>
      <c r="J23" s="191"/>
    </row>
    <row r="24" spans="1:10" x14ac:dyDescent="0.3">
      <c r="A24" s="202" t="s">
        <v>8</v>
      </c>
      <c r="B24" s="203">
        <f>Ixworth!L3</f>
        <v>0</v>
      </c>
      <c r="C24" s="205">
        <f>Ixworth!L4</f>
        <v>0</v>
      </c>
      <c r="D24" s="205">
        <f>Ixworth!L5</f>
        <v>1</v>
      </c>
      <c r="E24" s="203">
        <f>Ixworth!L6</f>
        <v>3</v>
      </c>
      <c r="F24" s="203">
        <f>Ixworth!L7</f>
        <v>0</v>
      </c>
      <c r="G24" s="218">
        <f t="shared" si="3"/>
        <v>4</v>
      </c>
      <c r="H24" s="191"/>
      <c r="I24" s="191"/>
      <c r="J24" s="191"/>
    </row>
    <row r="25" spans="1:10" x14ac:dyDescent="0.3">
      <c r="A25" s="202" t="s">
        <v>9</v>
      </c>
      <c r="B25" s="205">
        <f>Lavenham!L3</f>
        <v>0</v>
      </c>
      <c r="C25" s="205">
        <f>Lavenham!L4</f>
        <v>0</v>
      </c>
      <c r="D25" s="205">
        <f>Lavenham!L5</f>
        <v>2</v>
      </c>
      <c r="E25" s="203">
        <f>Lavenham!L6</f>
        <v>6</v>
      </c>
      <c r="F25" s="203">
        <f>Lavenham!L7</f>
        <v>0</v>
      </c>
      <c r="G25" s="218">
        <f t="shared" si="3"/>
        <v>8</v>
      </c>
      <c r="H25" s="191"/>
      <c r="I25" s="191"/>
      <c r="J25" s="191"/>
    </row>
    <row r="26" spans="1:10" s="24" customFormat="1" x14ac:dyDescent="0.3">
      <c r="A26" s="204" t="s">
        <v>10</v>
      </c>
      <c r="B26" s="205">
        <f>Mildenhall!L3</f>
        <v>0</v>
      </c>
      <c r="C26" s="205">
        <f>Mildenhall!L4</f>
        <v>0</v>
      </c>
      <c r="D26" s="205">
        <f>Mildenhall!L5</f>
        <v>2</v>
      </c>
      <c r="E26" s="203">
        <f>Mildenhall!L6</f>
        <v>4</v>
      </c>
      <c r="F26" s="203">
        <f>Mildenhall!L7</f>
        <v>0</v>
      </c>
      <c r="G26" s="218">
        <f t="shared" si="3"/>
        <v>6</v>
      </c>
      <c r="H26" s="191"/>
      <c r="I26" s="191"/>
      <c r="J26" s="191"/>
    </row>
    <row r="27" spans="1:10" x14ac:dyDescent="0.3">
      <c r="A27" s="204" t="s">
        <v>11</v>
      </c>
      <c r="B27" s="205">
        <f>Stowmarket!L3</f>
        <v>0</v>
      </c>
      <c r="C27" s="205">
        <f>Stowmarket!L4</f>
        <v>0</v>
      </c>
      <c r="D27" s="205">
        <f>Stowmarket!L5</f>
        <v>3</v>
      </c>
      <c r="E27" s="203">
        <v>1</v>
      </c>
      <c r="F27" s="203">
        <f>Stowmarket!L7</f>
        <v>0</v>
      </c>
      <c r="G27" s="218">
        <f t="shared" si="3"/>
        <v>4</v>
      </c>
      <c r="H27" s="191"/>
      <c r="I27" s="191"/>
      <c r="J27" s="191"/>
    </row>
    <row r="28" spans="1:10" x14ac:dyDescent="0.3">
      <c r="A28" s="202" t="s">
        <v>12</v>
      </c>
      <c r="B28" s="203">
        <f>Sudbury!L3</f>
        <v>0</v>
      </c>
      <c r="C28" s="203">
        <f>Sudbury!L4</f>
        <v>0</v>
      </c>
      <c r="D28" s="203">
        <f>Sudbury!L5</f>
        <v>3</v>
      </c>
      <c r="E28" s="203">
        <f>Sudbury!L6</f>
        <v>5</v>
      </c>
      <c r="F28" s="203">
        <f>Sudbury!L7</f>
        <v>0</v>
      </c>
      <c r="G28" s="218">
        <f t="shared" si="3"/>
        <v>8</v>
      </c>
      <c r="H28" s="191"/>
      <c r="I28" s="191"/>
      <c r="J28" s="191"/>
    </row>
    <row r="29" spans="1:10" x14ac:dyDescent="0.3">
      <c r="A29" s="202" t="s">
        <v>13</v>
      </c>
      <c r="B29" s="203">
        <f>Thingoe!L3</f>
        <v>0</v>
      </c>
      <c r="C29" s="203">
        <f>Thingoe!L4</f>
        <v>0</v>
      </c>
      <c r="D29" s="203">
        <f>Thingoe!L5</f>
        <v>3</v>
      </c>
      <c r="E29" s="203">
        <f>Thingoe!L6</f>
        <v>3</v>
      </c>
      <c r="F29" s="203">
        <f>Thingoe!L7</f>
        <v>0</v>
      </c>
      <c r="G29" s="218">
        <f t="shared" si="3"/>
        <v>6</v>
      </c>
      <c r="H29" s="191"/>
      <c r="I29" s="191"/>
      <c r="J29" s="191"/>
    </row>
    <row r="30" spans="1:10" s="24" customFormat="1" x14ac:dyDescent="0.3">
      <c r="A30" s="199"/>
      <c r="B30" s="200"/>
      <c r="C30" s="200"/>
      <c r="D30" s="200"/>
      <c r="E30" s="200"/>
      <c r="F30" s="200"/>
      <c r="G30" s="201"/>
      <c r="H30" s="191"/>
      <c r="I30" s="191"/>
      <c r="J30" s="191"/>
    </row>
    <row r="31" spans="1:10" s="24" customFormat="1" ht="14.5" thickBot="1" x14ac:dyDescent="0.35">
      <c r="A31" s="207" t="s">
        <v>1550</v>
      </c>
      <c r="B31" s="208">
        <f>SUM(B21:B29)</f>
        <v>0</v>
      </c>
      <c r="C31" s="208">
        <f t="shared" ref="C31:G31" si="4">SUM(C21:C29)</f>
        <v>1</v>
      </c>
      <c r="D31" s="208">
        <f t="shared" si="4"/>
        <v>16</v>
      </c>
      <c r="E31" s="208">
        <f t="shared" si="4"/>
        <v>34</v>
      </c>
      <c r="F31" s="208">
        <f t="shared" si="4"/>
        <v>0</v>
      </c>
      <c r="G31" s="209">
        <f t="shared" si="4"/>
        <v>51</v>
      </c>
      <c r="H31" s="191"/>
      <c r="I31" s="191"/>
      <c r="J31" s="191"/>
    </row>
    <row r="32" spans="1:10" s="24" customFormat="1" x14ac:dyDescent="0.3">
      <c r="A32" s="200"/>
      <c r="B32" s="200"/>
      <c r="C32" s="219">
        <f>C31/G31</f>
        <v>1.9607843137254902E-2</v>
      </c>
      <c r="D32" s="219">
        <f>D31/G31</f>
        <v>0.31372549019607843</v>
      </c>
      <c r="E32" s="219">
        <f>E31/G31</f>
        <v>0.66666666666666663</v>
      </c>
      <c r="F32" s="219">
        <v>0</v>
      </c>
      <c r="G32" s="200"/>
      <c r="H32" s="191"/>
      <c r="I32" s="191"/>
      <c r="J32" s="191"/>
    </row>
    <row r="33" spans="1:10" s="24" customFormat="1" ht="14.5" thickBot="1" x14ac:dyDescent="0.35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x14ac:dyDescent="0.3">
      <c r="A34" s="210"/>
      <c r="B34" s="194" t="s">
        <v>1548</v>
      </c>
      <c r="C34" s="194" t="s">
        <v>1549</v>
      </c>
      <c r="D34" s="194" t="s">
        <v>1553</v>
      </c>
      <c r="E34" s="194" t="s">
        <v>1554</v>
      </c>
      <c r="F34" s="194" t="s">
        <v>1545</v>
      </c>
      <c r="G34" s="195" t="s">
        <v>1550</v>
      </c>
      <c r="H34" s="191"/>
      <c r="I34" s="191"/>
      <c r="J34" s="191"/>
    </row>
    <row r="35" spans="1:10" s="24" customFormat="1" x14ac:dyDescent="0.3">
      <c r="A35" s="196" t="s">
        <v>24</v>
      </c>
      <c r="B35" s="200"/>
      <c r="C35" s="200"/>
      <c r="D35" s="200"/>
      <c r="E35" s="200"/>
      <c r="F35" s="200"/>
      <c r="G35" s="201"/>
      <c r="H35" s="191"/>
      <c r="I35" s="191"/>
      <c r="J35" s="191"/>
    </row>
    <row r="36" spans="1:10" x14ac:dyDescent="0.3">
      <c r="A36" s="199"/>
      <c r="B36" s="200"/>
      <c r="C36" s="200"/>
      <c r="D36" s="200"/>
      <c r="E36" s="200"/>
      <c r="F36" s="200"/>
      <c r="G36" s="201"/>
      <c r="H36" s="191"/>
      <c r="I36" s="191"/>
      <c r="J36" s="191"/>
    </row>
    <row r="37" spans="1:10" x14ac:dyDescent="0.3">
      <c r="A37" s="199" t="s">
        <v>15</v>
      </c>
      <c r="B37" s="203">
        <f>Colneys!L3</f>
        <v>0</v>
      </c>
      <c r="C37" s="203">
        <f>Colneys!L4</f>
        <v>0</v>
      </c>
      <c r="D37" s="203">
        <f>Colneys!L5</f>
        <v>3</v>
      </c>
      <c r="E37" s="203">
        <f>Colneys!L6</f>
        <v>4</v>
      </c>
      <c r="F37" s="203">
        <f>Colneys!L7</f>
        <v>0</v>
      </c>
      <c r="G37" s="218">
        <f t="shared" ref="G37:G44" si="5">SUM(B37:F37)</f>
        <v>7</v>
      </c>
      <c r="H37" s="191"/>
      <c r="I37" s="191"/>
      <c r="J37" s="191"/>
    </row>
    <row r="38" spans="1:10" x14ac:dyDescent="0.3">
      <c r="A38" s="202" t="s">
        <v>16</v>
      </c>
      <c r="B38" s="203">
        <f>Hartismere!L3</f>
        <v>0</v>
      </c>
      <c r="C38" s="203">
        <f>Hartismere!L4</f>
        <v>0</v>
      </c>
      <c r="D38" s="203">
        <f>Hartismere!L5</f>
        <v>0</v>
      </c>
      <c r="E38" s="203">
        <f>Hartismere!L6</f>
        <v>3</v>
      </c>
      <c r="F38" s="203">
        <f>Hartismere!L7</f>
        <v>0</v>
      </c>
      <c r="G38" s="218">
        <f t="shared" si="5"/>
        <v>3</v>
      </c>
      <c r="H38" s="191"/>
      <c r="I38" s="191"/>
      <c r="J38" s="191"/>
    </row>
    <row r="39" spans="1:10" x14ac:dyDescent="0.3">
      <c r="A39" s="202" t="s">
        <v>17</v>
      </c>
      <c r="B39" s="203">
        <f>Hoxne!L3</f>
        <v>0</v>
      </c>
      <c r="C39" s="203">
        <f>Hoxne!L4</f>
        <v>0</v>
      </c>
      <c r="D39" s="203">
        <f>Hoxne!L5</f>
        <v>0</v>
      </c>
      <c r="E39" s="203">
        <f>Hoxne!L6</f>
        <v>3</v>
      </c>
      <c r="F39" s="203">
        <f>Hoxne!L7</f>
        <v>0</v>
      </c>
      <c r="G39" s="218">
        <f t="shared" si="5"/>
        <v>3</v>
      </c>
      <c r="H39" s="191"/>
      <c r="I39" s="191"/>
      <c r="J39" s="191"/>
    </row>
    <row r="40" spans="1:10" x14ac:dyDescent="0.3">
      <c r="A40" s="202" t="s">
        <v>19</v>
      </c>
      <c r="B40" s="203">
        <f>Loes!L3</f>
        <v>0</v>
      </c>
      <c r="C40" s="203">
        <f>Loes!L4</f>
        <v>0</v>
      </c>
      <c r="D40" s="203">
        <f>Loes!L5</f>
        <v>3</v>
      </c>
      <c r="E40" s="203">
        <f>Loes!L6</f>
        <v>3</v>
      </c>
      <c r="F40" s="203">
        <f>Loes!L7</f>
        <v>0</v>
      </c>
      <c r="G40" s="218">
        <f t="shared" si="5"/>
        <v>6</v>
      </c>
      <c r="H40" s="191"/>
      <c r="I40" s="191"/>
      <c r="J40" s="191"/>
    </row>
    <row r="41" spans="1:10" x14ac:dyDescent="0.3">
      <c r="A41" s="202" t="s">
        <v>20</v>
      </c>
      <c r="B41" s="203">
        <f>Samford!L3</f>
        <v>0</v>
      </c>
      <c r="C41" s="203">
        <f>Samford!L4</f>
        <v>0</v>
      </c>
      <c r="D41" s="203">
        <f>Samford!L5</f>
        <v>0</v>
      </c>
      <c r="E41" s="203">
        <f>Samford!L6</f>
        <v>4</v>
      </c>
      <c r="F41" s="203">
        <f>Samford!L7</f>
        <v>0</v>
      </c>
      <c r="G41" s="218">
        <f t="shared" si="5"/>
        <v>4</v>
      </c>
      <c r="H41" s="191"/>
      <c r="I41" s="191"/>
      <c r="J41" s="191"/>
    </row>
    <row r="42" spans="1:10" x14ac:dyDescent="0.3">
      <c r="A42" s="204" t="s">
        <v>21</v>
      </c>
      <c r="B42" s="203">
        <f>Saxmundham!L3</f>
        <v>0</v>
      </c>
      <c r="C42" s="203">
        <f>Saxmundham!L4</f>
        <v>0</v>
      </c>
      <c r="D42" s="203">
        <f>Saxmundham!L5</f>
        <v>1</v>
      </c>
      <c r="E42" s="203">
        <f>Saxmundham!L6</f>
        <v>4</v>
      </c>
      <c r="F42" s="203">
        <f>Saxmundham!L7</f>
        <v>0</v>
      </c>
      <c r="G42" s="218">
        <f t="shared" si="5"/>
        <v>5</v>
      </c>
      <c r="H42" s="191"/>
      <c r="I42" s="191"/>
      <c r="J42" s="191"/>
    </row>
    <row r="43" spans="1:10" x14ac:dyDescent="0.3">
      <c r="A43" s="206" t="s">
        <v>22</v>
      </c>
      <c r="B43" s="203">
        <f>'Waveney &amp; Blyth'!L3</f>
        <v>0</v>
      </c>
      <c r="C43" s="203">
        <f>'Waveney &amp; Blyth'!L4</f>
        <v>0</v>
      </c>
      <c r="D43" s="203">
        <f>'Waveney &amp; Blyth'!L5</f>
        <v>2</v>
      </c>
      <c r="E43" s="203">
        <f>'Waveney &amp; Blyth'!L6</f>
        <v>7</v>
      </c>
      <c r="F43" s="203">
        <f>'Waveney &amp; Blyth'!L7</f>
        <v>0</v>
      </c>
      <c r="G43" s="218">
        <f t="shared" si="5"/>
        <v>9</v>
      </c>
      <c r="H43" s="191"/>
      <c r="I43" s="191"/>
      <c r="J43" s="191"/>
    </row>
    <row r="44" spans="1:10" x14ac:dyDescent="0.3">
      <c r="A44" s="199" t="s">
        <v>23</v>
      </c>
      <c r="B44" s="203">
        <f>Woodbridge!L3</f>
        <v>0</v>
      </c>
      <c r="C44" s="203">
        <f>Woodbridge!L4</f>
        <v>0</v>
      </c>
      <c r="D44" s="203">
        <f>Woodbridge!L5</f>
        <v>1</v>
      </c>
      <c r="E44" s="203">
        <f>Woodbridge!L6</f>
        <v>3</v>
      </c>
      <c r="F44" s="203">
        <f>Woodbridge!L7</f>
        <v>0</v>
      </c>
      <c r="G44" s="218">
        <f t="shared" si="5"/>
        <v>4</v>
      </c>
      <c r="H44" s="191"/>
      <c r="I44" s="191"/>
      <c r="J44" s="191"/>
    </row>
    <row r="45" spans="1:10" s="24" customFormat="1" x14ac:dyDescent="0.3">
      <c r="A45" s="199"/>
      <c r="B45" s="200"/>
      <c r="C45" s="200"/>
      <c r="D45" s="200"/>
      <c r="E45" s="200"/>
      <c r="F45" s="200"/>
      <c r="G45" s="201"/>
      <c r="H45" s="191"/>
      <c r="I45" s="191"/>
      <c r="J45" s="191"/>
    </row>
    <row r="46" spans="1:10" s="24" customFormat="1" ht="14.5" thickBot="1" x14ac:dyDescent="0.35">
      <c r="A46" s="207" t="s">
        <v>1550</v>
      </c>
      <c r="B46" s="208">
        <f>SUM(B37:B44)</f>
        <v>0</v>
      </c>
      <c r="C46" s="208">
        <f t="shared" ref="C46:F46" si="6">SUM(C37:C44)</f>
        <v>0</v>
      </c>
      <c r="D46" s="208">
        <f t="shared" si="6"/>
        <v>10</v>
      </c>
      <c r="E46" s="208">
        <f t="shared" si="6"/>
        <v>31</v>
      </c>
      <c r="F46" s="208">
        <f t="shared" si="6"/>
        <v>0</v>
      </c>
      <c r="G46" s="209">
        <f>SUM(G37:G44)</f>
        <v>41</v>
      </c>
      <c r="H46" s="191"/>
      <c r="I46" s="191"/>
      <c r="J46" s="191"/>
    </row>
    <row r="47" spans="1:10" s="24" customFormat="1" x14ac:dyDescent="0.3">
      <c r="A47" s="200"/>
      <c r="B47" s="200"/>
      <c r="C47" s="219">
        <v>0</v>
      </c>
      <c r="D47" s="219">
        <f>D46/G46</f>
        <v>0.24390243902439024</v>
      </c>
      <c r="E47" s="219">
        <f>E46/G46</f>
        <v>0.75609756097560976</v>
      </c>
      <c r="F47" s="219">
        <f>F46/G46</f>
        <v>0</v>
      </c>
      <c r="G47" s="200"/>
      <c r="H47" s="191"/>
      <c r="I47" s="191"/>
      <c r="J47" s="191"/>
    </row>
    <row r="48" spans="1:10" s="24" customFormat="1" ht="14.5" thickBot="1" x14ac:dyDescent="0.35">
      <c r="A48" s="191"/>
      <c r="B48" s="191"/>
      <c r="C48" s="191"/>
      <c r="D48" s="191"/>
      <c r="E48" s="191"/>
      <c r="F48" s="191"/>
      <c r="G48" s="191"/>
      <c r="H48" s="191"/>
      <c r="I48" s="191"/>
      <c r="J48" s="191"/>
    </row>
    <row r="49" spans="1:10" x14ac:dyDescent="0.3">
      <c r="A49" s="210"/>
      <c r="B49" s="194" t="s">
        <v>1548</v>
      </c>
      <c r="C49" s="194" t="s">
        <v>1549</v>
      </c>
      <c r="D49" s="194" t="s">
        <v>1553</v>
      </c>
      <c r="E49" s="194" t="s">
        <v>1554</v>
      </c>
      <c r="F49" s="194" t="s">
        <v>1545</v>
      </c>
      <c r="G49" s="195" t="s">
        <v>1550</v>
      </c>
      <c r="H49" s="191"/>
      <c r="I49" s="191"/>
      <c r="J49" s="191"/>
    </row>
    <row r="50" spans="1:10" s="24" customFormat="1" x14ac:dyDescent="0.3">
      <c r="A50" s="196" t="s">
        <v>1468</v>
      </c>
      <c r="B50" s="200"/>
      <c r="C50" s="200"/>
      <c r="D50" s="200"/>
      <c r="E50" s="200"/>
      <c r="F50" s="200"/>
      <c r="G50" s="201"/>
      <c r="H50" s="191"/>
      <c r="I50" s="191"/>
      <c r="J50" s="191"/>
    </row>
    <row r="51" spans="1:10" x14ac:dyDescent="0.3">
      <c r="A51" s="199"/>
      <c r="B51" s="200"/>
      <c r="C51" s="200"/>
      <c r="D51" s="200"/>
      <c r="E51" s="200"/>
      <c r="F51" s="200"/>
      <c r="G51" s="201"/>
      <c r="H51" s="191"/>
      <c r="I51" s="191"/>
      <c r="J51" s="191"/>
    </row>
    <row r="52" spans="1:10" ht="14.5" thickBot="1" x14ac:dyDescent="0.35">
      <c r="A52" s="207" t="s">
        <v>18</v>
      </c>
      <c r="B52" s="208">
        <f>Ipswich!L3</f>
        <v>1</v>
      </c>
      <c r="C52" s="208">
        <f>Ipswich!L4</f>
        <v>0</v>
      </c>
      <c r="D52" s="208">
        <f>Ipswich!L5</f>
        <v>4</v>
      </c>
      <c r="E52" s="208">
        <f>Ipswich!L6</f>
        <v>9</v>
      </c>
      <c r="F52" s="208">
        <f>Ipswich!L7</f>
        <v>0</v>
      </c>
      <c r="G52" s="209">
        <f>SUM(B52:F52)</f>
        <v>14</v>
      </c>
      <c r="H52" s="191"/>
      <c r="I52" s="191"/>
      <c r="J52" s="191"/>
    </row>
    <row r="53" spans="1:10" x14ac:dyDescent="0.3">
      <c r="A53" s="24"/>
      <c r="B53" s="191"/>
      <c r="C53" s="219">
        <f>C52/G52</f>
        <v>0</v>
      </c>
      <c r="D53" s="219">
        <f>D52/G52</f>
        <v>0.2857142857142857</v>
      </c>
      <c r="E53" s="219">
        <f>E52/G52</f>
        <v>0.6428571428571429</v>
      </c>
      <c r="F53" s="219">
        <f>F52/G52</f>
        <v>0</v>
      </c>
      <c r="G53" s="191"/>
      <c r="H53" s="191"/>
      <c r="I53" s="191"/>
      <c r="J53" s="191"/>
    </row>
    <row r="54" spans="1:10" s="24" customFormat="1" ht="14.5" thickBot="1" x14ac:dyDescent="0.35">
      <c r="B54" s="191"/>
      <c r="C54" s="191"/>
      <c r="D54" s="191"/>
      <c r="E54" s="191"/>
      <c r="F54" s="191"/>
      <c r="G54" s="191"/>
      <c r="H54" s="191"/>
      <c r="I54" s="191"/>
      <c r="J54" s="191"/>
    </row>
    <row r="55" spans="1:10" x14ac:dyDescent="0.3">
      <c r="A55" s="211"/>
      <c r="B55" s="194" t="s">
        <v>1548</v>
      </c>
      <c r="C55" s="194" t="s">
        <v>1549</v>
      </c>
      <c r="D55" s="194" t="s">
        <v>1553</v>
      </c>
      <c r="E55" s="194" t="s">
        <v>1554</v>
      </c>
      <c r="F55" s="194" t="s">
        <v>1545</v>
      </c>
      <c r="G55" s="195" t="s">
        <v>1550</v>
      </c>
      <c r="H55" s="191"/>
      <c r="I55" s="191"/>
      <c r="J55" s="191"/>
    </row>
    <row r="56" spans="1:10" ht="14.5" thickBot="1" x14ac:dyDescent="0.35">
      <c r="A56" s="187" t="s">
        <v>1555</v>
      </c>
      <c r="B56" s="208">
        <f>B52+B46+B31</f>
        <v>1</v>
      </c>
      <c r="C56" s="208">
        <f t="shared" ref="C56:F56" si="7">C52+C46+C31</f>
        <v>1</v>
      </c>
      <c r="D56" s="208">
        <f t="shared" si="7"/>
        <v>30</v>
      </c>
      <c r="E56" s="208">
        <f t="shared" si="7"/>
        <v>74</v>
      </c>
      <c r="F56" s="208">
        <f t="shared" si="7"/>
        <v>0</v>
      </c>
      <c r="G56" s="209">
        <f>G52+G46+G31</f>
        <v>106</v>
      </c>
      <c r="H56" s="191"/>
      <c r="I56" s="191"/>
      <c r="J56" s="191"/>
    </row>
    <row r="57" spans="1:10" x14ac:dyDescent="0.3">
      <c r="B57" s="191"/>
      <c r="C57" s="219">
        <f>C56/G56</f>
        <v>9.433962264150943E-3</v>
      </c>
      <c r="D57" s="219">
        <f>D56/G56</f>
        <v>0.28301886792452829</v>
      </c>
      <c r="E57" s="219">
        <f>E56/G56</f>
        <v>0.69811320754716977</v>
      </c>
      <c r="F57" s="219">
        <f>F56/G56</f>
        <v>0</v>
      </c>
      <c r="G57" s="191"/>
      <c r="H57" s="191"/>
      <c r="I57" s="191"/>
      <c r="J57" s="191"/>
    </row>
    <row r="58" spans="1:10" x14ac:dyDescent="0.3">
      <c r="B58" s="191"/>
      <c r="C58" s="191"/>
      <c r="D58" s="191"/>
      <c r="E58" s="191"/>
      <c r="F58" s="191"/>
      <c r="G58" s="191"/>
      <c r="H58" s="191"/>
      <c r="I58" s="191"/>
      <c r="J58" s="191"/>
    </row>
    <row r="59" spans="1:10" x14ac:dyDescent="0.3">
      <c r="B59" s="191"/>
      <c r="C59" s="191"/>
      <c r="D59" s="191"/>
      <c r="E59" s="191"/>
      <c r="F59" s="191"/>
      <c r="G59" s="191"/>
      <c r="H59" s="191"/>
      <c r="I59" s="191"/>
      <c r="J59" s="191"/>
    </row>
  </sheetData>
  <mergeCells count="7">
    <mergeCell ref="C15:E15"/>
    <mergeCell ref="A2:B2"/>
    <mergeCell ref="A4:A6"/>
    <mergeCell ref="D4:D6"/>
    <mergeCell ref="E4:E6"/>
    <mergeCell ref="C4:C6"/>
    <mergeCell ref="B4:B6"/>
  </mergeCells>
  <hyperlinks>
    <hyperlink ref="A21" location="Bosmere!A1" tooltip="Bosmere Deanery" display="Bosmere" xr:uid="{00000000-0004-0000-0500-000000000000}"/>
    <hyperlink ref="A22" location="Clare!A1" tooltip="Clare Deanery" display="Clare" xr:uid="{00000000-0004-0000-0500-000001000000}"/>
    <hyperlink ref="A23" location="Hadleigh!A1" tooltip="Hadleigh Deanery" display="Hadleigh" xr:uid="{00000000-0004-0000-0500-000002000000}"/>
    <hyperlink ref="A24" location="Ixworth!A1" tooltip="Ixworth Deanery" display="Ixworth" xr:uid="{00000000-0004-0000-0500-000003000000}"/>
    <hyperlink ref="A25" location="Lavenham!A1" tooltip="Lavenham Deanery" display="Lavenham" xr:uid="{00000000-0004-0000-0500-000004000000}"/>
    <hyperlink ref="A26" location="Mildenhall!A1" tooltip="Mildenhall Deanery" display="Mildenhall" xr:uid="{00000000-0004-0000-0500-000005000000}"/>
    <hyperlink ref="A27" location="Stowmarket!A1" tooltip="Stowmarket Deaney" display="Stowmarket" xr:uid="{00000000-0004-0000-0500-000006000000}"/>
    <hyperlink ref="A28" location="Sudbury!A1" tooltip="Sudbury Deaney" display="Sudbury" xr:uid="{00000000-0004-0000-0500-000007000000}"/>
    <hyperlink ref="A29" location="Thingoe!A1" tooltip="Thingoe Deanery" display="Thingoe" xr:uid="{00000000-0004-0000-0500-000008000000}"/>
    <hyperlink ref="A37" location="Colneys!A1" tooltip="Colneys Deanery" display="Colneys" xr:uid="{00000000-0004-0000-0500-000009000000}"/>
    <hyperlink ref="A38" location="Hartismere!A1" tooltip="Hartismere Deanery" display="Hartismere" xr:uid="{00000000-0004-0000-0500-00000A000000}"/>
    <hyperlink ref="A39" location="Hoxne!A1" tooltip="Hoxne Deanery" display="Hoxne" xr:uid="{00000000-0004-0000-0500-00000B000000}"/>
    <hyperlink ref="A52" location="Ipswich!A1" tooltip="Ipswich Deanery" display="Ipswich" xr:uid="{00000000-0004-0000-0500-00000C000000}"/>
    <hyperlink ref="A40" location="Loes!A1" tooltip="Loes Deanery" display="Loes" xr:uid="{00000000-0004-0000-0500-00000D000000}"/>
    <hyperlink ref="A41" location="Samford!A1" tooltip="Samford Deanery" display="Samford" xr:uid="{00000000-0004-0000-0500-00000E000000}"/>
    <hyperlink ref="A42" location="Saxmundham!A1" tooltip="Saxmundham Deanery" display="Saxmundham" xr:uid="{00000000-0004-0000-0500-00000F000000}"/>
    <hyperlink ref="A43" location="'Waveney &amp; Blyth'!A1" tooltip="Waveney &amp; Blyth Deanery" display="Waveney &amp; Blyth" xr:uid="{00000000-0004-0000-0500-000010000000}"/>
    <hyperlink ref="A44" location="Woodbridge!A1" tooltip="Woodbridge Deanery" display="Woodbridge" xr:uid="{00000000-0004-0000-0500-000011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58"/>
  <sheetViews>
    <sheetView topLeftCell="A13" zoomScaleNormal="100" workbookViewId="0">
      <selection activeCell="F31" sqref="F31"/>
    </sheetView>
  </sheetViews>
  <sheetFormatPr defaultColWidth="9" defaultRowHeight="14" x14ac:dyDescent="0.3"/>
  <cols>
    <col min="1" max="1" width="9" style="24"/>
    <col min="2" max="2" width="10.83203125" style="24" bestFit="1" customWidth="1"/>
    <col min="3" max="3" width="37.33203125" style="24" bestFit="1" customWidth="1"/>
    <col min="4" max="6" width="12" style="24" bestFit="1" customWidth="1"/>
    <col min="7" max="7" width="12.5" style="8" bestFit="1" customWidth="1"/>
    <col min="8" max="8" width="9" style="24" hidden="1" customWidth="1"/>
    <col min="9" max="9" width="11.08203125" style="24" hidden="1" customWidth="1"/>
    <col min="10" max="10" width="9" style="24" hidden="1" customWidth="1"/>
    <col min="11" max="11" width="19.08203125" style="24" hidden="1" customWidth="1"/>
    <col min="12" max="12" width="9" style="24" hidden="1" customWidth="1"/>
    <col min="13" max="13" width="2.75" style="24" hidden="1" customWidth="1"/>
    <col min="14" max="14" width="16.83203125" style="24" hidden="1" customWidth="1"/>
    <col min="15" max="15" width="15.25" style="24" hidden="1" customWidth="1"/>
    <col min="16" max="16" width="10.83203125" style="24" hidden="1" customWidth="1"/>
    <col min="17" max="19" width="9" style="24" customWidth="1"/>
    <col min="20" max="16384" width="9" style="24"/>
  </cols>
  <sheetData>
    <row r="1" spans="2:16" ht="14.5" thickBot="1" x14ac:dyDescent="0.35"/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O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24" t="s">
        <v>554</v>
      </c>
      <c r="K3" s="24" t="s">
        <v>555</v>
      </c>
      <c r="L3" s="24">
        <f>COUNTIF(H8:H42,"&gt;1")</f>
        <v>0</v>
      </c>
    </row>
    <row r="4" spans="2:16" s="3" customFormat="1" ht="18" thickBot="1" x14ac:dyDescent="0.4">
      <c r="B4" s="120"/>
      <c r="C4" s="102" t="s">
        <v>28</v>
      </c>
      <c r="D4" s="642">
        <f>Summary!C3</f>
        <v>44043</v>
      </c>
      <c r="E4" s="642"/>
      <c r="F4" s="42"/>
      <c r="G4" s="121"/>
      <c r="J4" s="24"/>
      <c r="K4" s="24" t="s">
        <v>553</v>
      </c>
      <c r="L4" s="24">
        <f>COUNTIF(H8:H42,1)</f>
        <v>0</v>
      </c>
      <c r="M4" s="24"/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24">
        <v>1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24">
        <v>4</v>
      </c>
      <c r="M6" s="24"/>
      <c r="N6" s="3" t="s">
        <v>1374</v>
      </c>
      <c r="O6" s="3" t="s">
        <v>1375</v>
      </c>
      <c r="P6" s="3" t="s">
        <v>1376</v>
      </c>
    </row>
    <row r="7" spans="2:16" x14ac:dyDescent="0.3">
      <c r="B7" s="128"/>
      <c r="C7" s="103"/>
      <c r="D7" s="103"/>
      <c r="E7" s="103"/>
      <c r="F7" s="103"/>
      <c r="G7" s="168"/>
      <c r="K7" s="24" t="s">
        <v>557</v>
      </c>
      <c r="L7" s="24">
        <f>COUNTIF(H8:H42,0)</f>
        <v>0</v>
      </c>
    </row>
    <row r="8" spans="2:16" x14ac:dyDescent="0.3">
      <c r="B8" s="238" t="s">
        <v>849</v>
      </c>
      <c r="C8" s="233" t="s">
        <v>30</v>
      </c>
      <c r="D8" s="114">
        <f>[4]Bosmere!E8</f>
        <v>5000</v>
      </c>
      <c r="E8" s="605">
        <f>'[5]Bosmere '!D8</f>
        <v>2500</v>
      </c>
      <c r="F8" s="114">
        <f>D8-E8</f>
        <v>2500</v>
      </c>
      <c r="G8" s="243">
        <f t="shared" ref="G8:G11" si="0">ROUND((E8/D8),4)</f>
        <v>0.5</v>
      </c>
      <c r="H8" s="14"/>
      <c r="L8" s="24">
        <f>SUM(L3:L7)</f>
        <v>5</v>
      </c>
      <c r="N8" s="24" t="s">
        <v>1377</v>
      </c>
      <c r="O8" s="24" t="s">
        <v>1378</v>
      </c>
    </row>
    <row r="9" spans="2:16" x14ac:dyDescent="0.3">
      <c r="B9" s="238" t="s">
        <v>850</v>
      </c>
      <c r="C9" s="233" t="s">
        <v>31</v>
      </c>
      <c r="D9" s="114">
        <f>[4]Bosmere!E9</f>
        <v>15000</v>
      </c>
      <c r="E9" s="605">
        <f>'[5]Bosmere '!D9</f>
        <v>1000</v>
      </c>
      <c r="F9" s="114">
        <f t="shared" ref="F9:F13" si="1">D9-E9</f>
        <v>14000</v>
      </c>
      <c r="G9" s="243">
        <f t="shared" si="0"/>
        <v>6.6699999999999995E-2</v>
      </c>
      <c r="H9" s="14"/>
      <c r="N9" s="24" t="s">
        <v>1377</v>
      </c>
      <c r="O9" s="24" t="s">
        <v>1378</v>
      </c>
      <c r="P9" s="24" t="s">
        <v>1379</v>
      </c>
    </row>
    <row r="10" spans="2:16" x14ac:dyDescent="0.3">
      <c r="B10" s="238" t="s">
        <v>851</v>
      </c>
      <c r="C10" s="233" t="s">
        <v>32</v>
      </c>
      <c r="D10" s="114">
        <f>[4]Bosmere!E10</f>
        <v>1000</v>
      </c>
      <c r="E10" s="605">
        <f>'[5]Bosmere '!D10</f>
        <v>0</v>
      </c>
      <c r="F10" s="114">
        <f t="shared" si="1"/>
        <v>1000</v>
      </c>
      <c r="G10" s="243">
        <f t="shared" si="0"/>
        <v>0</v>
      </c>
      <c r="H10" s="14"/>
    </row>
    <row r="11" spans="2:16" x14ac:dyDescent="0.3">
      <c r="B11" s="238" t="s">
        <v>852</v>
      </c>
      <c r="C11" s="233" t="s">
        <v>33</v>
      </c>
      <c r="D11" s="114">
        <f>[4]Bosmere!E11</f>
        <v>5000</v>
      </c>
      <c r="E11" s="605">
        <f>'[5]Bosmere '!D11</f>
        <v>0</v>
      </c>
      <c r="F11" s="114">
        <f t="shared" si="1"/>
        <v>5000</v>
      </c>
      <c r="G11" s="243">
        <f t="shared" si="0"/>
        <v>0</v>
      </c>
      <c r="H11" s="14"/>
      <c r="N11" s="24" t="s">
        <v>1377</v>
      </c>
      <c r="O11" s="24" t="s">
        <v>1378</v>
      </c>
      <c r="P11" s="24" t="s">
        <v>1380</v>
      </c>
    </row>
    <row r="12" spans="2:16" x14ac:dyDescent="0.3">
      <c r="B12" s="275"/>
      <c r="C12" s="172" t="s">
        <v>1392</v>
      </c>
      <c r="D12" s="114">
        <f>[4]Bosmere!E12</f>
        <v>35190</v>
      </c>
      <c r="E12" s="605">
        <f>'[5]Bosmere '!D12</f>
        <v>0</v>
      </c>
      <c r="F12" s="114">
        <f t="shared" si="1"/>
        <v>35190</v>
      </c>
      <c r="G12" s="188"/>
      <c r="H12" s="14"/>
    </row>
    <row r="13" spans="2:16" s="3" customFormat="1" x14ac:dyDescent="0.3">
      <c r="B13" s="280"/>
      <c r="C13" s="181" t="s">
        <v>618</v>
      </c>
      <c r="D13" s="279">
        <f>-[4]Bosmere!$E$46</f>
        <v>-27180</v>
      </c>
      <c r="E13" s="605">
        <f>'[5]Bosmere '!D13</f>
        <v>0</v>
      </c>
      <c r="F13" s="114">
        <f t="shared" si="1"/>
        <v>-27180</v>
      </c>
      <c r="G13" s="228"/>
    </row>
    <row r="14" spans="2:16" ht="14.5" thickBot="1" x14ac:dyDescent="0.35">
      <c r="B14" s="222" t="s">
        <v>848</v>
      </c>
      <c r="C14" s="226" t="s">
        <v>34</v>
      </c>
      <c r="D14" s="109">
        <f>SUM(D8:D11)+D12+D13</f>
        <v>34010</v>
      </c>
      <c r="E14" s="109">
        <f t="shared" ref="E14:F14" si="2">SUM(E8:E11)+E12+E13</f>
        <v>3500</v>
      </c>
      <c r="F14" s="109">
        <f t="shared" si="2"/>
        <v>30510</v>
      </c>
      <c r="G14" s="282">
        <f>ROUND((E14/D14),4)</f>
        <v>0.10290000000000001</v>
      </c>
      <c r="H14" s="14">
        <f>G14</f>
        <v>0.10290000000000001</v>
      </c>
      <c r="I14" s="192"/>
    </row>
    <row r="15" spans="2:16" x14ac:dyDescent="0.3">
      <c r="B15" s="268"/>
      <c r="C15" s="269"/>
      <c r="D15" s="270"/>
      <c r="E15" s="270"/>
      <c r="F15" s="270"/>
      <c r="G15" s="271"/>
      <c r="N15" s="24" t="s">
        <v>1381</v>
      </c>
      <c r="O15" s="24" t="s">
        <v>1382</v>
      </c>
      <c r="P15" s="24" t="s">
        <v>1379</v>
      </c>
    </row>
    <row r="16" spans="2:16" x14ac:dyDescent="0.3">
      <c r="B16" s="238" t="s">
        <v>853</v>
      </c>
      <c r="C16" s="233" t="s">
        <v>35</v>
      </c>
      <c r="D16" s="114">
        <f>[4]Bosmere!$E$15</f>
        <v>38665</v>
      </c>
      <c r="E16" s="114">
        <f>'[5]Bosmere '!D16</f>
        <v>21665</v>
      </c>
      <c r="F16" s="114">
        <f t="shared" ref="F16" si="3">D16-E16</f>
        <v>17000</v>
      </c>
      <c r="G16" s="243">
        <f t="shared" ref="G16:G44" si="4">ROUND((E16/D16),4)</f>
        <v>0.56030000000000002</v>
      </c>
      <c r="H16" s="15"/>
      <c r="N16" s="24" t="s">
        <v>1377</v>
      </c>
      <c r="O16" s="24" t="s">
        <v>1378</v>
      </c>
      <c r="P16" s="24" t="s">
        <v>1383</v>
      </c>
    </row>
    <row r="17" spans="2:16" x14ac:dyDescent="0.3">
      <c r="B17" s="238" t="s">
        <v>854</v>
      </c>
      <c r="C17" s="233" t="s">
        <v>36</v>
      </c>
      <c r="D17" s="114">
        <f>[4]Bosmere!$E$16</f>
        <v>13232</v>
      </c>
      <c r="E17" s="114">
        <f>'[5]Bosmere '!D17</f>
        <v>0</v>
      </c>
      <c r="F17" s="114">
        <f>D17-E17</f>
        <v>13232</v>
      </c>
      <c r="G17" s="243">
        <f t="shared" si="4"/>
        <v>0</v>
      </c>
      <c r="H17" s="15"/>
      <c r="N17" s="24" t="s">
        <v>1384</v>
      </c>
      <c r="O17" s="24" t="s">
        <v>1382</v>
      </c>
      <c r="P17" s="24" t="s">
        <v>1379</v>
      </c>
    </row>
    <row r="18" spans="2:16" s="3" customFormat="1" x14ac:dyDescent="0.3">
      <c r="B18" s="230" t="s">
        <v>855</v>
      </c>
      <c r="C18" s="247" t="s">
        <v>37</v>
      </c>
      <c r="D18" s="114">
        <f>[4]Bosmere!$E$17</f>
        <v>19138</v>
      </c>
      <c r="E18" s="114">
        <f>'[5]Bosmere '!D18</f>
        <v>10604.67</v>
      </c>
      <c r="F18" s="145">
        <f>D18-E18</f>
        <v>8533.33</v>
      </c>
      <c r="G18" s="243">
        <f t="shared" si="4"/>
        <v>0.55410000000000004</v>
      </c>
      <c r="H18" s="15"/>
    </row>
    <row r="19" spans="2:16" ht="14.5" thickBot="1" x14ac:dyDescent="0.35">
      <c r="B19" s="222" t="s">
        <v>856</v>
      </c>
      <c r="C19" s="226" t="s">
        <v>38</v>
      </c>
      <c r="D19" s="109">
        <f>SUM(D16:D18)</f>
        <v>71035</v>
      </c>
      <c r="E19" s="109">
        <f>SUM(E16:E18)</f>
        <v>32269.67</v>
      </c>
      <c r="F19" s="109">
        <f>D19-E19</f>
        <v>38765.33</v>
      </c>
      <c r="G19" s="282">
        <f t="shared" si="4"/>
        <v>0.45429999999999998</v>
      </c>
      <c r="H19" s="14">
        <f t="shared" ref="H19" si="5">G19</f>
        <v>0.45429999999999998</v>
      </c>
      <c r="I19" s="192"/>
    </row>
    <row r="20" spans="2:16" x14ac:dyDescent="0.3">
      <c r="B20" s="280"/>
      <c r="C20" s="181"/>
      <c r="D20" s="279"/>
      <c r="E20" s="279"/>
      <c r="F20" s="279"/>
      <c r="G20" s="228"/>
      <c r="N20" s="24" t="s">
        <v>1381</v>
      </c>
      <c r="O20" s="24" t="s">
        <v>1382</v>
      </c>
      <c r="P20" s="24" t="s">
        <v>1379</v>
      </c>
    </row>
    <row r="21" spans="2:16" x14ac:dyDescent="0.3">
      <c r="B21" s="238" t="s">
        <v>857</v>
      </c>
      <c r="C21" s="233" t="s">
        <v>39</v>
      </c>
      <c r="D21" s="114">
        <f>[4]Bosmere!E20</f>
        <v>12469</v>
      </c>
      <c r="E21" s="605">
        <f>'[5]Bosmere '!D21</f>
        <v>7274</v>
      </c>
      <c r="F21" s="114">
        <f t="shared" ref="F21:F28" si="6">D21-E21</f>
        <v>5195</v>
      </c>
      <c r="G21" s="243">
        <f t="shared" ref="G21:G28" si="7">ROUND((E21/D21),4)</f>
        <v>0.58340000000000003</v>
      </c>
      <c r="H21" s="15"/>
      <c r="N21" s="24" t="s">
        <v>1377</v>
      </c>
      <c r="O21" s="24" t="s">
        <v>1378</v>
      </c>
    </row>
    <row r="22" spans="2:16" x14ac:dyDescent="0.3">
      <c r="B22" s="238" t="s">
        <v>858</v>
      </c>
      <c r="C22" s="233" t="s">
        <v>40</v>
      </c>
      <c r="D22" s="114">
        <f>[4]Bosmere!E21</f>
        <v>12877</v>
      </c>
      <c r="E22" s="605">
        <f>'[5]Bosmere '!D22</f>
        <v>2878</v>
      </c>
      <c r="F22" s="114">
        <f t="shared" si="6"/>
        <v>9999</v>
      </c>
      <c r="G22" s="243">
        <f t="shared" si="7"/>
        <v>0.2235</v>
      </c>
      <c r="H22" s="15"/>
      <c r="N22" s="24" t="s">
        <v>1377</v>
      </c>
      <c r="O22" s="24" t="s">
        <v>1378</v>
      </c>
      <c r="P22" s="24" t="s">
        <v>1380</v>
      </c>
    </row>
    <row r="23" spans="2:16" x14ac:dyDescent="0.3">
      <c r="B23" s="238" t="s">
        <v>859</v>
      </c>
      <c r="C23" s="606" t="s">
        <v>41</v>
      </c>
      <c r="D23" s="114">
        <f>[4]Bosmere!E22</f>
        <v>3383</v>
      </c>
      <c r="E23" s="605">
        <f>'[5]Bosmere '!D23</f>
        <v>2000</v>
      </c>
      <c r="F23" s="114">
        <f t="shared" si="6"/>
        <v>1383</v>
      </c>
      <c r="G23" s="607">
        <f t="shared" si="7"/>
        <v>0.59119999999999995</v>
      </c>
      <c r="H23" s="15"/>
      <c r="N23" s="24" t="s">
        <v>1381</v>
      </c>
      <c r="O23" s="24" t="s">
        <v>1382</v>
      </c>
      <c r="P23" s="24" t="s">
        <v>1379</v>
      </c>
    </row>
    <row r="24" spans="2:16" x14ac:dyDescent="0.3">
      <c r="B24" s="238" t="s">
        <v>860</v>
      </c>
      <c r="C24" s="233" t="s">
        <v>42</v>
      </c>
      <c r="D24" s="114">
        <f>[4]Bosmere!E23</f>
        <v>3978</v>
      </c>
      <c r="E24" s="605">
        <f>'[5]Bosmere '!D24</f>
        <v>2324</v>
      </c>
      <c r="F24" s="114">
        <f t="shared" si="6"/>
        <v>1654</v>
      </c>
      <c r="G24" s="243">
        <f t="shared" si="7"/>
        <v>0.58420000000000005</v>
      </c>
      <c r="H24" s="15"/>
      <c r="N24" s="24" t="s">
        <v>1381</v>
      </c>
      <c r="O24" s="24" t="s">
        <v>1382</v>
      </c>
      <c r="P24" s="24" t="s">
        <v>1379</v>
      </c>
    </row>
    <row r="25" spans="2:16" x14ac:dyDescent="0.3">
      <c r="B25" s="238" t="s">
        <v>861</v>
      </c>
      <c r="C25" s="233" t="s">
        <v>43</v>
      </c>
      <c r="D25" s="114">
        <f>[4]Bosmere!E24</f>
        <v>21255</v>
      </c>
      <c r="E25" s="605">
        <f>'[5]Bosmere '!D25</f>
        <v>12397.5</v>
      </c>
      <c r="F25" s="114">
        <f t="shared" si="6"/>
        <v>8857.5</v>
      </c>
      <c r="G25" s="243">
        <f t="shared" si="7"/>
        <v>0.58330000000000004</v>
      </c>
      <c r="H25" s="15"/>
      <c r="N25" s="24" t="s">
        <v>1377</v>
      </c>
      <c r="O25" s="24" t="s">
        <v>1378</v>
      </c>
    </row>
    <row r="26" spans="2:16" x14ac:dyDescent="0.3">
      <c r="B26" s="238" t="s">
        <v>862</v>
      </c>
      <c r="C26" s="233" t="s">
        <v>44</v>
      </c>
      <c r="D26" s="114">
        <f>[4]Bosmere!E25</f>
        <v>4339</v>
      </c>
      <c r="E26" s="605">
        <f>'[5]Bosmere '!D26</f>
        <v>3339</v>
      </c>
      <c r="F26" s="114">
        <f t="shared" si="6"/>
        <v>1000</v>
      </c>
      <c r="G26" s="243">
        <f t="shared" si="7"/>
        <v>0.76949999999999996</v>
      </c>
      <c r="H26" s="15"/>
      <c r="N26" s="24" t="s">
        <v>1377</v>
      </c>
      <c r="O26" s="24" t="s">
        <v>1378</v>
      </c>
    </row>
    <row r="27" spans="2:16" x14ac:dyDescent="0.3">
      <c r="B27" s="238" t="s">
        <v>1350</v>
      </c>
      <c r="C27" s="233" t="s">
        <v>45</v>
      </c>
      <c r="D27" s="114">
        <f>[4]Bosmere!E26</f>
        <v>4701</v>
      </c>
      <c r="E27" s="605">
        <f>'[5]Bosmere '!D27</f>
        <v>0</v>
      </c>
      <c r="F27" s="114">
        <f t="shared" si="6"/>
        <v>4701</v>
      </c>
      <c r="G27" s="243">
        <f t="shared" si="7"/>
        <v>0</v>
      </c>
      <c r="H27" s="15"/>
      <c r="N27" s="24" t="s">
        <v>1377</v>
      </c>
      <c r="O27" s="24" t="s">
        <v>1378</v>
      </c>
      <c r="P27" s="24" t="s">
        <v>1379</v>
      </c>
    </row>
    <row r="28" spans="2:16" s="3" customFormat="1" x14ac:dyDescent="0.3">
      <c r="B28" s="230" t="s">
        <v>864</v>
      </c>
      <c r="C28" s="247" t="s">
        <v>46</v>
      </c>
      <c r="D28" s="114">
        <f>[4]Bosmere!E27</f>
        <v>9401</v>
      </c>
      <c r="E28" s="605">
        <f>'[5]Bosmere '!D28</f>
        <v>5457.97</v>
      </c>
      <c r="F28" s="145">
        <f t="shared" si="6"/>
        <v>3943.0299999999997</v>
      </c>
      <c r="G28" s="241">
        <f t="shared" si="7"/>
        <v>0.5806</v>
      </c>
      <c r="H28" s="15"/>
    </row>
    <row r="29" spans="2:16" ht="14.5" thickBot="1" x14ac:dyDescent="0.35">
      <c r="B29" s="222" t="s">
        <v>865</v>
      </c>
      <c r="C29" s="226" t="s">
        <v>47</v>
      </c>
      <c r="D29" s="109">
        <f>SUM(D21:D28)</f>
        <v>72403</v>
      </c>
      <c r="E29" s="109">
        <f>SUM(E21:E28)</f>
        <v>35670.47</v>
      </c>
      <c r="F29" s="109">
        <f>D29-E29</f>
        <v>36732.53</v>
      </c>
      <c r="G29" s="282">
        <f t="shared" si="4"/>
        <v>0.49270000000000003</v>
      </c>
      <c r="H29" s="220">
        <f t="shared" ref="H29" si="8">G29</f>
        <v>0.49270000000000003</v>
      </c>
      <c r="I29" s="192"/>
    </row>
    <row r="30" spans="2:16" s="3" customFormat="1" x14ac:dyDescent="0.3">
      <c r="B30" s="275"/>
      <c r="C30" s="181"/>
      <c r="D30" s="279"/>
      <c r="E30" s="279"/>
      <c r="F30" s="279"/>
      <c r="G30" s="228"/>
      <c r="H30" s="24"/>
      <c r="N30" s="4" t="s">
        <v>1377</v>
      </c>
      <c r="O30" s="4" t="s">
        <v>1378</v>
      </c>
      <c r="P30" s="4" t="s">
        <v>1379</v>
      </c>
    </row>
    <row r="31" spans="2:16" ht="14.5" thickBot="1" x14ac:dyDescent="0.35">
      <c r="B31" s="222" t="s">
        <v>866</v>
      </c>
      <c r="C31" s="226" t="s">
        <v>48</v>
      </c>
      <c r="D31" s="109">
        <f>[4]Bosmere!$E$30</f>
        <v>66850</v>
      </c>
      <c r="E31" s="109">
        <f>'[5]Bosmere '!$D$31</f>
        <v>26000</v>
      </c>
      <c r="F31" s="109">
        <f>D31-E31</f>
        <v>40850</v>
      </c>
      <c r="G31" s="282">
        <f t="shared" si="4"/>
        <v>0.38890000000000002</v>
      </c>
      <c r="H31" s="14">
        <f>G31</f>
        <v>0.38890000000000002</v>
      </c>
    </row>
    <row r="32" spans="2:16" s="4" customFormat="1" x14ac:dyDescent="0.3">
      <c r="B32" s="275"/>
      <c r="C32" s="172"/>
      <c r="D32" s="276"/>
      <c r="E32" s="276"/>
      <c r="F32" s="276"/>
      <c r="G32" s="188"/>
      <c r="H32" s="24"/>
      <c r="N32" s="4" t="s">
        <v>1381</v>
      </c>
      <c r="O32" s="4" t="s">
        <v>1378</v>
      </c>
      <c r="P32" s="4" t="s">
        <v>1379</v>
      </c>
    </row>
    <row r="33" spans="2:16" x14ac:dyDescent="0.3">
      <c r="B33" s="238" t="s">
        <v>867</v>
      </c>
      <c r="C33" s="233" t="s">
        <v>49</v>
      </c>
      <c r="D33" s="114">
        <v>0</v>
      </c>
      <c r="E33" s="605">
        <f>'[5]Bosmere '!D33</f>
        <v>3500</v>
      </c>
      <c r="F33" s="114"/>
      <c r="G33" s="243"/>
      <c r="H33" s="16"/>
      <c r="N33" s="24" t="s">
        <v>1381</v>
      </c>
      <c r="O33" s="24" t="s">
        <v>1378</v>
      </c>
    </row>
    <row r="34" spans="2:16" x14ac:dyDescent="0.3">
      <c r="B34" s="238" t="s">
        <v>868</v>
      </c>
      <c r="C34" s="233" t="s">
        <v>50</v>
      </c>
      <c r="D34" s="114">
        <v>0</v>
      </c>
      <c r="E34" s="605">
        <f>'[5]Bosmere '!D34</f>
        <v>0</v>
      </c>
      <c r="F34" s="114"/>
      <c r="G34" s="243"/>
      <c r="H34" s="16"/>
      <c r="N34" s="24" t="s">
        <v>1377</v>
      </c>
      <c r="O34" s="24" t="s">
        <v>1378</v>
      </c>
    </row>
    <row r="35" spans="2:16" x14ac:dyDescent="0.3">
      <c r="B35" s="238" t="s">
        <v>869</v>
      </c>
      <c r="C35" s="233" t="s">
        <v>51</v>
      </c>
      <c r="D35" s="114">
        <v>0</v>
      </c>
      <c r="E35" s="605">
        <f>'[5]Bosmere '!D35</f>
        <v>0</v>
      </c>
      <c r="F35" s="114"/>
      <c r="G35" s="243"/>
      <c r="H35" s="16"/>
      <c r="N35" s="24" t="s">
        <v>1377</v>
      </c>
      <c r="O35" s="24" t="s">
        <v>1378</v>
      </c>
    </row>
    <row r="36" spans="2:16" x14ac:dyDescent="0.3">
      <c r="B36" s="238" t="s">
        <v>870</v>
      </c>
      <c r="C36" s="233" t="s">
        <v>52</v>
      </c>
      <c r="D36" s="114">
        <v>0</v>
      </c>
      <c r="E36" s="605">
        <f>'[5]Bosmere '!D36</f>
        <v>1470</v>
      </c>
      <c r="F36" s="114"/>
      <c r="G36" s="243"/>
      <c r="H36" s="16"/>
    </row>
    <row r="37" spans="2:16" x14ac:dyDescent="0.3">
      <c r="B37" s="238" t="s">
        <v>871</v>
      </c>
      <c r="C37" s="233" t="s">
        <v>53</v>
      </c>
      <c r="D37" s="114">
        <v>0</v>
      </c>
      <c r="E37" s="605">
        <f>'[5]Bosmere '!D37</f>
        <v>2500</v>
      </c>
      <c r="F37" s="114"/>
      <c r="G37" s="243"/>
      <c r="H37" s="16"/>
      <c r="N37" s="24" t="s">
        <v>1381</v>
      </c>
      <c r="O37" s="24" t="s">
        <v>1382</v>
      </c>
      <c r="P37" s="24" t="s">
        <v>1379</v>
      </c>
    </row>
    <row r="38" spans="2:16" x14ac:dyDescent="0.3">
      <c r="B38" s="238" t="s">
        <v>872</v>
      </c>
      <c r="C38" s="233" t="s">
        <v>54</v>
      </c>
      <c r="D38" s="114">
        <v>0</v>
      </c>
      <c r="E38" s="605">
        <f>'[5]Bosmere '!D38</f>
        <v>700</v>
      </c>
      <c r="F38" s="114"/>
      <c r="G38" s="243"/>
      <c r="H38" s="16"/>
    </row>
    <row r="39" spans="2:16" x14ac:dyDescent="0.3">
      <c r="B39" s="238" t="s">
        <v>873</v>
      </c>
      <c r="C39" s="233" t="s">
        <v>55</v>
      </c>
      <c r="D39" s="114">
        <v>0</v>
      </c>
      <c r="E39" s="605">
        <f>'[5]Bosmere '!D39</f>
        <v>500</v>
      </c>
      <c r="F39" s="114"/>
      <c r="G39" s="243"/>
      <c r="H39" s="16"/>
      <c r="N39" s="24" t="s">
        <v>1381</v>
      </c>
      <c r="O39" s="24" t="s">
        <v>1382</v>
      </c>
      <c r="P39" s="24" t="s">
        <v>1379</v>
      </c>
    </row>
    <row r="40" spans="2:16" x14ac:dyDescent="0.3">
      <c r="B40" s="238" t="s">
        <v>874</v>
      </c>
      <c r="C40" s="233" t="s">
        <v>56</v>
      </c>
      <c r="D40" s="114">
        <v>0</v>
      </c>
      <c r="E40" s="605">
        <f>'[5]Bosmere '!D40</f>
        <v>2100</v>
      </c>
      <c r="F40" s="114"/>
      <c r="G40" s="243"/>
      <c r="H40" s="16"/>
    </row>
    <row r="41" spans="2:16" s="3" customFormat="1" x14ac:dyDescent="0.3">
      <c r="B41" s="238" t="s">
        <v>875</v>
      </c>
      <c r="C41" s="18" t="s">
        <v>1631</v>
      </c>
      <c r="D41" s="145">
        <f>[4]Bosmere!$E$40</f>
        <v>57791</v>
      </c>
      <c r="E41" s="605">
        <f>'[6]Bosmere '!D41</f>
        <v>0</v>
      </c>
      <c r="F41" s="145">
        <f t="shared" ref="F41" si="9">D41-E41</f>
        <v>57791</v>
      </c>
      <c r="G41" s="243"/>
      <c r="H41" s="16"/>
    </row>
    <row r="42" spans="2:16" ht="14.5" thickBot="1" x14ac:dyDescent="0.35">
      <c r="B42" s="124"/>
      <c r="C42" s="99" t="s">
        <v>57</v>
      </c>
      <c r="D42" s="110">
        <f>SUM(D33:D41)</f>
        <v>57791</v>
      </c>
      <c r="E42" s="110">
        <f>SUM(E33:E41)</f>
        <v>10770</v>
      </c>
      <c r="F42" s="110">
        <f>D42-E42</f>
        <v>47021</v>
      </c>
      <c r="G42" s="136">
        <f t="shared" si="4"/>
        <v>0.18640000000000001</v>
      </c>
      <c r="H42" s="14">
        <f>G42</f>
        <v>0.18640000000000001</v>
      </c>
      <c r="I42" s="192"/>
    </row>
    <row r="43" spans="2:16" s="3" customFormat="1" x14ac:dyDescent="0.3">
      <c r="B43" s="123"/>
      <c r="C43" s="89"/>
      <c r="D43" s="90"/>
      <c r="E43" s="90"/>
      <c r="F43" s="90"/>
      <c r="G43" s="157"/>
      <c r="H43" s="24"/>
    </row>
    <row r="44" spans="2:16" s="3" customFormat="1" ht="14.5" thickBot="1" x14ac:dyDescent="0.35">
      <c r="B44" s="124"/>
      <c r="C44" s="99" t="s">
        <v>619</v>
      </c>
      <c r="D44" s="110">
        <f>SUM(D42,D31,D29,D19,D14)-D13</f>
        <v>329269</v>
      </c>
      <c r="E44" s="110">
        <f>SUM(E42,E31,E29,E19,E14)</f>
        <v>108210.14</v>
      </c>
      <c r="F44" s="110">
        <f>D44-E44</f>
        <v>221058.86</v>
      </c>
      <c r="G44" s="136">
        <f t="shared" si="4"/>
        <v>0.3286</v>
      </c>
    </row>
    <row r="45" spans="2:16" s="3" customFormat="1" x14ac:dyDescent="0.3">
      <c r="B45" s="129"/>
      <c r="C45" s="96"/>
      <c r="D45" s="113"/>
      <c r="E45" s="113"/>
      <c r="F45" s="113"/>
      <c r="G45" s="177"/>
    </row>
    <row r="46" spans="2:16" s="3" customFormat="1" x14ac:dyDescent="0.3">
      <c r="B46" s="129"/>
      <c r="C46" s="96"/>
      <c r="D46" s="113"/>
      <c r="E46" s="113"/>
      <c r="F46" s="113"/>
      <c r="G46" s="121"/>
    </row>
    <row r="47" spans="2:16" ht="14.5" thickBot="1" x14ac:dyDescent="0.35">
      <c r="B47" s="124"/>
      <c r="C47" s="99" t="s">
        <v>1543</v>
      </c>
      <c r="D47" s="110">
        <f>D44+D13</f>
        <v>302089</v>
      </c>
      <c r="E47" s="110">
        <f>E44+E13</f>
        <v>108210.14</v>
      </c>
      <c r="F47" s="110">
        <f>F44+F13</f>
        <v>193878.86</v>
      </c>
      <c r="G47" s="136">
        <f t="shared" ref="G47" si="10">ROUND((E47/D47),4)</f>
        <v>0.35820000000000002</v>
      </c>
      <c r="H47" s="3"/>
    </row>
    <row r="48" spans="2:16" x14ac:dyDescent="0.3">
      <c r="B48" s="123"/>
      <c r="C48" s="89"/>
      <c r="D48" s="90"/>
      <c r="E48" s="90"/>
      <c r="F48" s="90"/>
      <c r="G48" s="119"/>
    </row>
    <row r="49" spans="2:9" ht="14.5" thickBot="1" x14ac:dyDescent="0.35">
      <c r="B49" s="124"/>
      <c r="C49" s="99" t="s">
        <v>1630</v>
      </c>
      <c r="D49" s="110">
        <v>290820</v>
      </c>
      <c r="E49" s="110">
        <v>133320</v>
      </c>
      <c r="F49" s="110">
        <f>D49-E49</f>
        <v>157500</v>
      </c>
      <c r="G49" s="136">
        <f>E49/D49</f>
        <v>0.45842789354239738</v>
      </c>
    </row>
    <row r="58" spans="2:9" ht="34.5" x14ac:dyDescent="0.65">
      <c r="C58" s="178"/>
      <c r="D58" s="178"/>
      <c r="E58" s="178"/>
      <c r="F58" s="178"/>
      <c r="G58" s="179"/>
      <c r="H58" s="178"/>
      <c r="I58" s="180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83"/>
  <sheetViews>
    <sheetView workbookViewId="0">
      <pane xSplit="1" topLeftCell="B1" activePane="topRight" state="frozen"/>
      <selection activeCell="C450" sqref="C450"/>
      <selection pane="topRight" activeCell="K32" sqref="K32"/>
    </sheetView>
  </sheetViews>
  <sheetFormatPr defaultColWidth="9" defaultRowHeight="14" x14ac:dyDescent="0.3"/>
  <cols>
    <col min="1" max="1" width="11.83203125" style="24" bestFit="1" customWidth="1"/>
    <col min="2" max="2" width="14.5" style="24" bestFit="1" customWidth="1"/>
    <col min="3" max="15" width="12.75" style="24" bestFit="1" customWidth="1"/>
    <col min="16" max="16384" width="9" style="24"/>
  </cols>
  <sheetData>
    <row r="2" spans="1:15" ht="14.5" x14ac:dyDescent="0.35">
      <c r="A2" s="31" t="s">
        <v>566</v>
      </c>
      <c r="B2" s="31" t="s">
        <v>571</v>
      </c>
      <c r="C2" s="31" t="s">
        <v>572</v>
      </c>
      <c r="D2" s="31" t="s">
        <v>573</v>
      </c>
      <c r="E2" s="31" t="s">
        <v>574</v>
      </c>
      <c r="F2" s="31" t="s">
        <v>575</v>
      </c>
      <c r="G2" s="31" t="s">
        <v>576</v>
      </c>
      <c r="H2" s="31" t="s">
        <v>577</v>
      </c>
      <c r="I2" s="31" t="s">
        <v>578</v>
      </c>
      <c r="J2" s="31" t="s">
        <v>579</v>
      </c>
      <c r="K2" s="31" t="s">
        <v>580</v>
      </c>
      <c r="L2" s="31" t="s">
        <v>581</v>
      </c>
      <c r="M2" s="31" t="s">
        <v>582</v>
      </c>
      <c r="N2" s="31" t="s">
        <v>583</v>
      </c>
    </row>
    <row r="3" spans="1:15" ht="14.5" x14ac:dyDescent="0.35">
      <c r="A3" s="32">
        <v>2009</v>
      </c>
      <c r="B3" s="33">
        <v>171090.61</v>
      </c>
      <c r="C3" s="33">
        <v>356715.07</v>
      </c>
      <c r="D3" s="33">
        <v>493709.97</v>
      </c>
      <c r="E3" s="33">
        <v>496105.85</v>
      </c>
      <c r="F3" s="33">
        <v>459614.77</v>
      </c>
      <c r="G3" s="33">
        <v>521515.02</v>
      </c>
      <c r="H3" s="33">
        <v>576133.15</v>
      </c>
      <c r="I3" s="33">
        <v>415315.07</v>
      </c>
      <c r="J3" s="33">
        <v>542342.63</v>
      </c>
      <c r="K3" s="33">
        <v>562594.99</v>
      </c>
      <c r="L3" s="33">
        <v>554462.55000000005</v>
      </c>
      <c r="M3" s="33">
        <v>602274.98</v>
      </c>
      <c r="N3" s="33">
        <v>325498.99</v>
      </c>
    </row>
    <row r="4" spans="1:15" ht="14.5" x14ac:dyDescent="0.35">
      <c r="A4" s="32">
        <v>2010</v>
      </c>
      <c r="B4" s="33">
        <v>200377.24</v>
      </c>
      <c r="C4" s="33">
        <v>381421.02</v>
      </c>
      <c r="D4" s="33">
        <v>548790.94999999995</v>
      </c>
      <c r="E4" s="33">
        <v>560542.47</v>
      </c>
      <c r="F4" s="33">
        <v>425201.94</v>
      </c>
      <c r="G4" s="33">
        <v>558557.47</v>
      </c>
      <c r="H4" s="33">
        <v>547573.43999999994</v>
      </c>
      <c r="I4" s="33">
        <v>470898.26</v>
      </c>
      <c r="J4" s="33">
        <v>520325.08</v>
      </c>
      <c r="K4" s="33">
        <v>489696.81</v>
      </c>
      <c r="L4" s="33">
        <v>529353.07999999996</v>
      </c>
      <c r="M4" s="33">
        <v>607645.56000000006</v>
      </c>
      <c r="N4" s="33">
        <v>342990.33</v>
      </c>
    </row>
    <row r="5" spans="1:15" ht="14.5" x14ac:dyDescent="0.35">
      <c r="A5" s="32">
        <v>2011</v>
      </c>
      <c r="B5" s="33">
        <v>214028.17</v>
      </c>
      <c r="C5" s="33">
        <v>353604.45</v>
      </c>
      <c r="D5" s="33">
        <v>604066.51</v>
      </c>
      <c r="E5" s="33">
        <v>521441.45</v>
      </c>
      <c r="F5" s="33">
        <v>473383.64</v>
      </c>
      <c r="G5" s="33">
        <v>547641.31000000006</v>
      </c>
      <c r="H5" s="33">
        <v>522301.99</v>
      </c>
      <c r="I5" s="33">
        <v>512018.5</v>
      </c>
      <c r="J5" s="33">
        <v>579492.09</v>
      </c>
      <c r="K5" s="33">
        <v>513961.86</v>
      </c>
      <c r="L5" s="33">
        <v>559638.91</v>
      </c>
      <c r="M5" s="33">
        <v>569758.31000000006</v>
      </c>
      <c r="N5" s="33">
        <v>322172.07</v>
      </c>
    </row>
    <row r="6" spans="1:15" ht="14.5" x14ac:dyDescent="0.35">
      <c r="A6" s="32">
        <v>2012</v>
      </c>
      <c r="B6" s="33">
        <v>225738.64</v>
      </c>
      <c r="C6" s="33">
        <v>434714.69</v>
      </c>
      <c r="D6" s="33">
        <v>518008.8</v>
      </c>
      <c r="E6" s="33">
        <v>520306.43</v>
      </c>
      <c r="F6" s="33">
        <v>510322.36</v>
      </c>
      <c r="G6" s="33">
        <v>470604.2</v>
      </c>
      <c r="H6" s="33">
        <v>621374.75</v>
      </c>
      <c r="I6" s="33">
        <v>468596.58</v>
      </c>
      <c r="J6" s="33">
        <v>486542.74</v>
      </c>
      <c r="K6" s="33">
        <v>568742.07999999996</v>
      </c>
      <c r="L6" s="33">
        <v>528959.61</v>
      </c>
      <c r="M6" s="33">
        <v>502084.59</v>
      </c>
      <c r="N6" s="33">
        <v>280874.59999999998</v>
      </c>
    </row>
    <row r="7" spans="1:15" ht="14.5" x14ac:dyDescent="0.35">
      <c r="A7" s="32">
        <v>2013</v>
      </c>
      <c r="B7" s="33">
        <v>256706</v>
      </c>
      <c r="C7" s="33">
        <v>386375.48</v>
      </c>
      <c r="D7" s="33">
        <v>453077.26</v>
      </c>
      <c r="E7" s="33">
        <v>589515.02</v>
      </c>
      <c r="F7" s="33">
        <v>446298.01</v>
      </c>
      <c r="G7" s="33">
        <v>543434.07999999996</v>
      </c>
      <c r="H7" s="33">
        <v>587550.93000000005</v>
      </c>
      <c r="I7" s="33">
        <v>474639.97</v>
      </c>
      <c r="J7" s="33">
        <v>527919.1</v>
      </c>
      <c r="K7" s="33">
        <v>571344.61</v>
      </c>
      <c r="L7" s="33">
        <v>472679.66</v>
      </c>
      <c r="M7" s="33">
        <v>595170.9</v>
      </c>
      <c r="N7" s="33">
        <v>329108.81</v>
      </c>
    </row>
    <row r="8" spans="1:15" ht="14.5" x14ac:dyDescent="0.35">
      <c r="A8" s="32">
        <v>2014</v>
      </c>
      <c r="B8" s="33">
        <v>278717.65999999997</v>
      </c>
      <c r="C8" s="33">
        <v>344489.52</v>
      </c>
      <c r="D8" s="33">
        <v>466330.75</v>
      </c>
      <c r="E8" s="33">
        <v>480188.74</v>
      </c>
      <c r="F8" s="33">
        <v>495605.2</v>
      </c>
      <c r="G8" s="33">
        <v>562101.81999999995</v>
      </c>
      <c r="H8" s="33">
        <v>545526.79</v>
      </c>
      <c r="I8" s="33">
        <v>419765.76000000001</v>
      </c>
      <c r="J8" s="33">
        <v>501232.81</v>
      </c>
      <c r="K8" s="33">
        <v>552731.01</v>
      </c>
      <c r="L8" s="33">
        <v>440554.71</v>
      </c>
      <c r="M8" s="33">
        <v>652712.26</v>
      </c>
      <c r="N8" s="33">
        <v>258946.78</v>
      </c>
    </row>
    <row r="9" spans="1:15" ht="14.5" x14ac:dyDescent="0.35">
      <c r="A9" s="32">
        <v>2015</v>
      </c>
      <c r="B9" s="33">
        <v>232624.31</v>
      </c>
      <c r="C9" s="33">
        <v>413892.17</v>
      </c>
      <c r="D9" s="33">
        <v>504925.73</v>
      </c>
      <c r="E9" s="33">
        <v>480188.79</v>
      </c>
      <c r="F9" s="33">
        <v>468607.87</v>
      </c>
      <c r="G9" s="33">
        <v>606139.91</v>
      </c>
      <c r="H9" s="33">
        <v>542982.97</v>
      </c>
      <c r="I9" s="33">
        <v>401097.16</v>
      </c>
      <c r="J9" s="33">
        <v>545173.26</v>
      </c>
      <c r="K9" s="33">
        <v>536438.54</v>
      </c>
      <c r="L9" s="33">
        <v>531580.72</v>
      </c>
      <c r="M9" s="33">
        <v>564291.65</v>
      </c>
      <c r="N9" s="33">
        <v>248055.79</v>
      </c>
    </row>
    <row r="10" spans="1:15" ht="14.5" x14ac:dyDescent="0.35">
      <c r="A10" s="32">
        <v>2016</v>
      </c>
      <c r="B10" s="33">
        <v>273492.40999999997</v>
      </c>
      <c r="C10" s="33">
        <v>456357.24</v>
      </c>
      <c r="D10" s="33">
        <v>545519.31000000006</v>
      </c>
      <c r="E10" s="33">
        <v>482752.13</v>
      </c>
      <c r="F10" s="33">
        <v>514551.99</v>
      </c>
      <c r="G10" s="33">
        <v>556175.03</v>
      </c>
      <c r="H10" s="33">
        <v>494409.65</v>
      </c>
      <c r="I10" s="33">
        <v>474068.07</v>
      </c>
      <c r="J10" s="33">
        <v>704862.41</v>
      </c>
      <c r="K10" s="33">
        <v>471935.4</v>
      </c>
      <c r="L10" s="33">
        <v>601393.15</v>
      </c>
      <c r="M10" s="33">
        <v>479333.81</v>
      </c>
      <c r="N10" s="33">
        <f>278240.4</f>
        <v>278240.40000000002</v>
      </c>
    </row>
    <row r="11" spans="1:15" ht="14.5" x14ac:dyDescent="0.35">
      <c r="A11" s="40">
        <v>2017</v>
      </c>
      <c r="B11" s="41">
        <v>381760.96</v>
      </c>
      <c r="C11" s="41">
        <v>444660.78</v>
      </c>
      <c r="D11" s="41">
        <v>564471.66</v>
      </c>
      <c r="E11" s="41">
        <v>515706.97</v>
      </c>
      <c r="F11" s="41">
        <v>534268.01</v>
      </c>
      <c r="G11" s="41">
        <v>511801.39</v>
      </c>
      <c r="H11" s="41">
        <v>572563.46</v>
      </c>
      <c r="I11" s="41">
        <v>458825</v>
      </c>
      <c r="J11" s="41">
        <v>538351.51</v>
      </c>
      <c r="K11" s="41">
        <v>521981.26</v>
      </c>
      <c r="L11" s="41">
        <v>502900</v>
      </c>
      <c r="M11" s="41">
        <v>460228.72</v>
      </c>
      <c r="N11" s="41">
        <v>257863.4</v>
      </c>
    </row>
    <row r="12" spans="1:15" ht="14.5" x14ac:dyDescent="0.35">
      <c r="A12" s="40">
        <v>2018</v>
      </c>
      <c r="B12" s="41">
        <v>349933.88</v>
      </c>
      <c r="C12" s="41">
        <v>397365.93</v>
      </c>
      <c r="D12" s="41">
        <v>524146.97</v>
      </c>
      <c r="E12" s="41">
        <v>597974.56000000006</v>
      </c>
      <c r="F12" s="41">
        <v>506807.41</v>
      </c>
      <c r="G12" s="41">
        <v>523037.82</v>
      </c>
      <c r="H12" s="41">
        <v>623977.18999999994</v>
      </c>
      <c r="I12" s="41">
        <v>508968.29</v>
      </c>
      <c r="J12" s="41">
        <v>515764.17</v>
      </c>
      <c r="K12" s="41">
        <v>563680.52</v>
      </c>
      <c r="L12" s="41">
        <v>537637.09</v>
      </c>
      <c r="M12" s="41">
        <v>549993.19999999995</v>
      </c>
      <c r="N12" s="36">
        <v>219097.73000000045</v>
      </c>
    </row>
    <row r="14" spans="1:15" x14ac:dyDescent="0.3">
      <c r="A14" s="34" t="s">
        <v>584</v>
      </c>
      <c r="B14" s="35">
        <f>AVERAGE(B9:B11)</f>
        <v>295959.22666666663</v>
      </c>
      <c r="C14" s="35">
        <f t="shared" ref="C14:N14" si="0">AVERAGE(C9:C11)</f>
        <v>438303.39666666667</v>
      </c>
      <c r="D14" s="35">
        <f t="shared" si="0"/>
        <v>538305.56666666677</v>
      </c>
      <c r="E14" s="35">
        <f t="shared" si="0"/>
        <v>492882.62999999995</v>
      </c>
      <c r="F14" s="35">
        <f t="shared" si="0"/>
        <v>505809.29000000004</v>
      </c>
      <c r="G14" s="35">
        <f t="shared" si="0"/>
        <v>558038.77666666673</v>
      </c>
      <c r="H14" s="35">
        <f t="shared" si="0"/>
        <v>536652.02666666673</v>
      </c>
      <c r="I14" s="35">
        <f t="shared" si="0"/>
        <v>444663.41</v>
      </c>
      <c r="J14" s="35">
        <f t="shared" si="0"/>
        <v>596129.05999999994</v>
      </c>
      <c r="K14" s="35">
        <f t="shared" si="0"/>
        <v>510118.40000000008</v>
      </c>
      <c r="L14" s="35">
        <f t="shared" si="0"/>
        <v>545291.29</v>
      </c>
      <c r="M14" s="35">
        <f t="shared" si="0"/>
        <v>501284.72666666663</v>
      </c>
      <c r="N14" s="35">
        <f t="shared" si="0"/>
        <v>261386.53000000003</v>
      </c>
      <c r="O14" s="35">
        <f t="shared" ref="O14:O19" si="1">SUM(B14:N14)</f>
        <v>6224824.330000001</v>
      </c>
    </row>
    <row r="15" spans="1:15" x14ac:dyDescent="0.3">
      <c r="A15" s="24">
        <f t="shared" ref="A15:N15" si="2">A8</f>
        <v>2014</v>
      </c>
      <c r="B15" s="36">
        <f t="shared" si="2"/>
        <v>278717.65999999997</v>
      </c>
      <c r="C15" s="36">
        <f t="shared" si="2"/>
        <v>344489.52</v>
      </c>
      <c r="D15" s="36">
        <f t="shared" si="2"/>
        <v>466330.75</v>
      </c>
      <c r="E15" s="36">
        <f t="shared" si="2"/>
        <v>480188.74</v>
      </c>
      <c r="F15" s="36">
        <f t="shared" si="2"/>
        <v>495605.2</v>
      </c>
      <c r="G15" s="36">
        <f t="shared" si="2"/>
        <v>562101.81999999995</v>
      </c>
      <c r="H15" s="36">
        <f t="shared" si="2"/>
        <v>545526.79</v>
      </c>
      <c r="I15" s="36">
        <f t="shared" si="2"/>
        <v>419765.76000000001</v>
      </c>
      <c r="J15" s="36">
        <f t="shared" si="2"/>
        <v>501232.81</v>
      </c>
      <c r="K15" s="36">
        <f t="shared" si="2"/>
        <v>552731.01</v>
      </c>
      <c r="L15" s="36">
        <f t="shared" si="2"/>
        <v>440554.71</v>
      </c>
      <c r="M15" s="36">
        <f t="shared" si="2"/>
        <v>652712.26</v>
      </c>
      <c r="N15" s="36">
        <f t="shared" si="2"/>
        <v>258946.78</v>
      </c>
      <c r="O15" s="35">
        <f t="shared" si="1"/>
        <v>5998903.8100000005</v>
      </c>
    </row>
    <row r="16" spans="1:15" x14ac:dyDescent="0.3">
      <c r="A16" s="24">
        <v>2015</v>
      </c>
      <c r="B16" s="36">
        <f t="shared" ref="B16:N16" si="3">B9</f>
        <v>232624.31</v>
      </c>
      <c r="C16" s="36">
        <f t="shared" si="3"/>
        <v>413892.17</v>
      </c>
      <c r="D16" s="36">
        <f t="shared" si="3"/>
        <v>504925.73</v>
      </c>
      <c r="E16" s="36">
        <f t="shared" si="3"/>
        <v>480188.79</v>
      </c>
      <c r="F16" s="36">
        <f t="shared" si="3"/>
        <v>468607.87</v>
      </c>
      <c r="G16" s="36">
        <f t="shared" si="3"/>
        <v>606139.91</v>
      </c>
      <c r="H16" s="36">
        <f t="shared" si="3"/>
        <v>542982.97</v>
      </c>
      <c r="I16" s="36">
        <f t="shared" si="3"/>
        <v>401097.16</v>
      </c>
      <c r="J16" s="36">
        <f t="shared" si="3"/>
        <v>545173.26</v>
      </c>
      <c r="K16" s="36">
        <f t="shared" si="3"/>
        <v>536438.54</v>
      </c>
      <c r="L16" s="36">
        <f t="shared" si="3"/>
        <v>531580.72</v>
      </c>
      <c r="M16" s="36">
        <f t="shared" si="3"/>
        <v>564291.65</v>
      </c>
      <c r="N16" s="36">
        <f t="shared" si="3"/>
        <v>248055.79</v>
      </c>
      <c r="O16" s="36">
        <f t="shared" si="1"/>
        <v>6075998.8700000001</v>
      </c>
    </row>
    <row r="17" spans="1:15" x14ac:dyDescent="0.3">
      <c r="A17" s="24">
        <v>2016</v>
      </c>
      <c r="B17" s="36">
        <f t="shared" ref="B17:N17" si="4">B10</f>
        <v>273492.40999999997</v>
      </c>
      <c r="C17" s="36">
        <f t="shared" si="4"/>
        <v>456357.24</v>
      </c>
      <c r="D17" s="36">
        <f t="shared" si="4"/>
        <v>545519.31000000006</v>
      </c>
      <c r="E17" s="36">
        <f t="shared" si="4"/>
        <v>482752.13</v>
      </c>
      <c r="F17" s="36">
        <f t="shared" si="4"/>
        <v>514551.99</v>
      </c>
      <c r="G17" s="36">
        <f t="shared" si="4"/>
        <v>556175.03</v>
      </c>
      <c r="H17" s="36">
        <f t="shared" si="4"/>
        <v>494409.65</v>
      </c>
      <c r="I17" s="36">
        <f t="shared" si="4"/>
        <v>474068.07</v>
      </c>
      <c r="J17" s="36">
        <f t="shared" si="4"/>
        <v>704862.41</v>
      </c>
      <c r="K17" s="36">
        <f t="shared" si="4"/>
        <v>471935.4</v>
      </c>
      <c r="L17" s="36">
        <f t="shared" si="4"/>
        <v>601393.15</v>
      </c>
      <c r="M17" s="36">
        <f t="shared" si="4"/>
        <v>479333.81</v>
      </c>
      <c r="N17" s="36">
        <f t="shared" si="4"/>
        <v>278240.40000000002</v>
      </c>
      <c r="O17" s="36">
        <f t="shared" si="1"/>
        <v>6333091.0000000009</v>
      </c>
    </row>
    <row r="18" spans="1:15" x14ac:dyDescent="0.3">
      <c r="A18" s="24">
        <v>2017</v>
      </c>
      <c r="B18" s="36">
        <f t="shared" ref="B18:K18" si="5">B11</f>
        <v>381760.96</v>
      </c>
      <c r="C18" s="36">
        <f t="shared" si="5"/>
        <v>444660.78</v>
      </c>
      <c r="D18" s="36">
        <f t="shared" si="5"/>
        <v>564471.66</v>
      </c>
      <c r="E18" s="36">
        <f t="shared" si="5"/>
        <v>515706.97</v>
      </c>
      <c r="F18" s="36">
        <f t="shared" si="5"/>
        <v>534268.01</v>
      </c>
      <c r="G18" s="36">
        <f t="shared" si="5"/>
        <v>511801.39</v>
      </c>
      <c r="H18" s="36">
        <f t="shared" si="5"/>
        <v>572563.46</v>
      </c>
      <c r="I18" s="36">
        <f t="shared" si="5"/>
        <v>458825</v>
      </c>
      <c r="J18" s="36">
        <f t="shared" si="5"/>
        <v>538351.51</v>
      </c>
      <c r="K18" s="36">
        <f t="shared" si="5"/>
        <v>521981.26</v>
      </c>
      <c r="L18" s="36">
        <v>502899.82</v>
      </c>
      <c r="M18" s="36">
        <f>M11</f>
        <v>460228.72</v>
      </c>
      <c r="N18" s="36">
        <f>N11</f>
        <v>257863.4</v>
      </c>
      <c r="O18" s="36">
        <f t="shared" si="1"/>
        <v>6265382.9400000004</v>
      </c>
    </row>
    <row r="19" spans="1:15" x14ac:dyDescent="0.3">
      <c r="A19" s="24">
        <v>2018</v>
      </c>
      <c r="B19" s="36">
        <f>B12</f>
        <v>349933.88</v>
      </c>
      <c r="C19" s="36">
        <f>C12</f>
        <v>397365.93</v>
      </c>
      <c r="D19" s="36">
        <f>D12</f>
        <v>524146.97</v>
      </c>
      <c r="E19" s="36">
        <f>E12</f>
        <v>597974.56000000006</v>
      </c>
      <c r="F19" s="36">
        <f>F12</f>
        <v>506807.41</v>
      </c>
      <c r="G19" s="36">
        <f t="shared" ref="G19:M19" si="6">G12</f>
        <v>523037.82</v>
      </c>
      <c r="H19" s="36">
        <f t="shared" si="6"/>
        <v>623977.18999999994</v>
      </c>
      <c r="I19" s="36">
        <f t="shared" si="6"/>
        <v>508968.29</v>
      </c>
      <c r="J19" s="36">
        <f t="shared" si="6"/>
        <v>515764.17</v>
      </c>
      <c r="K19" s="36">
        <f t="shared" si="6"/>
        <v>563680.52</v>
      </c>
      <c r="L19" s="36">
        <f t="shared" si="6"/>
        <v>537637.09</v>
      </c>
      <c r="M19" s="36">
        <f t="shared" si="6"/>
        <v>549993.19999999995</v>
      </c>
      <c r="N19" s="36">
        <v>219097.73000000045</v>
      </c>
      <c r="O19" s="36">
        <f t="shared" si="1"/>
        <v>6418384.7600000007</v>
      </c>
    </row>
    <row r="20" spans="1:15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5" x14ac:dyDescent="0.3">
      <c r="A21" s="24" t="s">
        <v>585</v>
      </c>
    </row>
    <row r="22" spans="1:15" x14ac:dyDescent="0.3">
      <c r="O22" s="24" t="s">
        <v>1</v>
      </c>
    </row>
    <row r="23" spans="1:15" x14ac:dyDescent="0.3">
      <c r="A23" s="24" t="str">
        <f t="shared" ref="A23:B23" si="7">A14</f>
        <v>Mean</v>
      </c>
      <c r="B23" s="37">
        <f t="shared" si="7"/>
        <v>295959.22666666663</v>
      </c>
      <c r="C23" s="36">
        <f>B23+C14</f>
        <v>734262.62333333329</v>
      </c>
      <c r="D23" s="36">
        <f t="shared" ref="D23:N23" si="8">C23+D14</f>
        <v>1272568.19</v>
      </c>
      <c r="E23" s="36">
        <f t="shared" si="8"/>
        <v>1765450.8199999998</v>
      </c>
      <c r="F23" s="36">
        <f t="shared" si="8"/>
        <v>2271260.11</v>
      </c>
      <c r="G23" s="36">
        <f t="shared" si="8"/>
        <v>2829298.8866666667</v>
      </c>
      <c r="H23" s="36">
        <f t="shared" si="8"/>
        <v>3365950.9133333336</v>
      </c>
      <c r="I23" s="36">
        <f t="shared" si="8"/>
        <v>3810614.3233333337</v>
      </c>
      <c r="J23" s="36">
        <f t="shared" si="8"/>
        <v>4406743.3833333338</v>
      </c>
      <c r="K23" s="36">
        <f t="shared" si="8"/>
        <v>4916861.7833333341</v>
      </c>
      <c r="L23" s="36">
        <f t="shared" si="8"/>
        <v>5462153.0733333342</v>
      </c>
      <c r="M23" s="36">
        <f t="shared" si="8"/>
        <v>5963437.8000000007</v>
      </c>
      <c r="N23" s="36">
        <f t="shared" si="8"/>
        <v>6224824.330000001</v>
      </c>
      <c r="O23" s="36">
        <f>AVERAGE(O29:O31)</f>
        <v>6699136.666666667</v>
      </c>
    </row>
    <row r="24" spans="1:15" x14ac:dyDescent="0.3">
      <c r="A24" s="24">
        <v>2009</v>
      </c>
      <c r="B24" s="37">
        <f>B3</f>
        <v>171090.61</v>
      </c>
      <c r="C24" s="37">
        <f t="shared" ref="C24:N24" si="9">B24+C3</f>
        <v>527805.67999999993</v>
      </c>
      <c r="D24" s="37">
        <f t="shared" si="9"/>
        <v>1021515.6499999999</v>
      </c>
      <c r="E24" s="37">
        <f t="shared" si="9"/>
        <v>1517621.5</v>
      </c>
      <c r="F24" s="37">
        <f t="shared" si="9"/>
        <v>1977236.27</v>
      </c>
      <c r="G24" s="37">
        <f t="shared" si="9"/>
        <v>2498751.29</v>
      </c>
      <c r="H24" s="37">
        <f t="shared" si="9"/>
        <v>3074884.44</v>
      </c>
      <c r="I24" s="37">
        <f t="shared" si="9"/>
        <v>3490199.51</v>
      </c>
      <c r="J24" s="37">
        <f t="shared" si="9"/>
        <v>4032542.1399999997</v>
      </c>
      <c r="K24" s="37">
        <f t="shared" si="9"/>
        <v>4595137.13</v>
      </c>
      <c r="L24" s="37">
        <f t="shared" si="9"/>
        <v>5149599.68</v>
      </c>
      <c r="M24" s="37">
        <f t="shared" si="9"/>
        <v>5751874.6600000001</v>
      </c>
      <c r="N24" s="37">
        <f t="shared" si="9"/>
        <v>6077373.6500000004</v>
      </c>
    </row>
    <row r="25" spans="1:15" x14ac:dyDescent="0.3">
      <c r="A25" s="24">
        <v>2010</v>
      </c>
      <c r="B25" s="37">
        <f>B4</f>
        <v>200377.24</v>
      </c>
      <c r="C25" s="37">
        <f t="shared" ref="C25:N25" si="10">B25+C4</f>
        <v>581798.26</v>
      </c>
      <c r="D25" s="37">
        <f t="shared" si="10"/>
        <v>1130589.21</v>
      </c>
      <c r="E25" s="37">
        <f t="shared" si="10"/>
        <v>1691131.68</v>
      </c>
      <c r="F25" s="37">
        <f t="shared" si="10"/>
        <v>2116333.62</v>
      </c>
      <c r="G25" s="37">
        <f t="shared" si="10"/>
        <v>2674891.09</v>
      </c>
      <c r="H25" s="37">
        <f t="shared" si="10"/>
        <v>3222464.53</v>
      </c>
      <c r="I25" s="37">
        <f t="shared" si="10"/>
        <v>3693362.79</v>
      </c>
      <c r="J25" s="37">
        <f t="shared" si="10"/>
        <v>4213687.87</v>
      </c>
      <c r="K25" s="37">
        <f t="shared" si="10"/>
        <v>4703384.68</v>
      </c>
      <c r="L25" s="37">
        <f t="shared" si="10"/>
        <v>5232737.76</v>
      </c>
      <c r="M25" s="37">
        <f t="shared" si="10"/>
        <v>5840383.3200000003</v>
      </c>
      <c r="N25" s="37">
        <f t="shared" si="10"/>
        <v>6183373.6500000004</v>
      </c>
    </row>
    <row r="26" spans="1:15" x14ac:dyDescent="0.3">
      <c r="A26" s="24">
        <v>2011</v>
      </c>
      <c r="B26" s="37">
        <f>B5</f>
        <v>214028.17</v>
      </c>
      <c r="C26" s="37">
        <f t="shared" ref="C26:N26" si="11">B26+C5</f>
        <v>567632.62</v>
      </c>
      <c r="D26" s="37">
        <f t="shared" si="11"/>
        <v>1171699.1299999999</v>
      </c>
      <c r="E26" s="37">
        <f t="shared" si="11"/>
        <v>1693140.5799999998</v>
      </c>
      <c r="F26" s="37">
        <f t="shared" si="11"/>
        <v>2166524.2199999997</v>
      </c>
      <c r="G26" s="37">
        <f t="shared" si="11"/>
        <v>2714165.53</v>
      </c>
      <c r="H26" s="37">
        <f t="shared" si="11"/>
        <v>3236467.5199999996</v>
      </c>
      <c r="I26" s="37">
        <f t="shared" si="11"/>
        <v>3748486.0199999996</v>
      </c>
      <c r="J26" s="37">
        <f t="shared" si="11"/>
        <v>4327978.1099999994</v>
      </c>
      <c r="K26" s="37">
        <f t="shared" si="11"/>
        <v>4841939.97</v>
      </c>
      <c r="L26" s="37">
        <f t="shared" si="11"/>
        <v>5401578.8799999999</v>
      </c>
      <c r="M26" s="37">
        <f t="shared" si="11"/>
        <v>5971337.1899999995</v>
      </c>
      <c r="N26" s="37">
        <f t="shared" si="11"/>
        <v>6293509.2599999998</v>
      </c>
    </row>
    <row r="27" spans="1:15" x14ac:dyDescent="0.3">
      <c r="A27" s="24">
        <v>2012</v>
      </c>
      <c r="B27" s="37">
        <f>B6</f>
        <v>225738.64</v>
      </c>
      <c r="C27" s="37">
        <f t="shared" ref="C27:N27" si="12">B27+C6</f>
        <v>660453.33000000007</v>
      </c>
      <c r="D27" s="37">
        <f t="shared" si="12"/>
        <v>1178462.1300000001</v>
      </c>
      <c r="E27" s="37">
        <f t="shared" si="12"/>
        <v>1698768.56</v>
      </c>
      <c r="F27" s="37">
        <f t="shared" si="12"/>
        <v>2209090.92</v>
      </c>
      <c r="G27" s="37">
        <f t="shared" si="12"/>
        <v>2679695.12</v>
      </c>
      <c r="H27" s="37">
        <f t="shared" si="12"/>
        <v>3301069.87</v>
      </c>
      <c r="I27" s="37">
        <f t="shared" si="12"/>
        <v>3769666.45</v>
      </c>
      <c r="J27" s="37">
        <f t="shared" si="12"/>
        <v>4256209.1900000004</v>
      </c>
      <c r="K27" s="37">
        <f t="shared" si="12"/>
        <v>4824951.2700000005</v>
      </c>
      <c r="L27" s="37">
        <f t="shared" si="12"/>
        <v>5353910.8800000008</v>
      </c>
      <c r="M27" s="37">
        <f t="shared" si="12"/>
        <v>5855995.4700000007</v>
      </c>
      <c r="N27" s="37">
        <f t="shared" si="12"/>
        <v>6136870.0700000003</v>
      </c>
    </row>
    <row r="28" spans="1:15" x14ac:dyDescent="0.3">
      <c r="A28" s="24">
        <v>2013</v>
      </c>
      <c r="B28" s="37">
        <f>B7</f>
        <v>256706</v>
      </c>
      <c r="C28" s="37">
        <f t="shared" ref="C28:N28" si="13">B28+C7</f>
        <v>643081.48</v>
      </c>
      <c r="D28" s="37">
        <f t="shared" si="13"/>
        <v>1096158.74</v>
      </c>
      <c r="E28" s="37">
        <f t="shared" si="13"/>
        <v>1685673.76</v>
      </c>
      <c r="F28" s="37">
        <f t="shared" si="13"/>
        <v>2131971.77</v>
      </c>
      <c r="G28" s="37">
        <f t="shared" si="13"/>
        <v>2675405.85</v>
      </c>
      <c r="H28" s="37">
        <f t="shared" si="13"/>
        <v>3262956.7800000003</v>
      </c>
      <c r="I28" s="37">
        <f t="shared" si="13"/>
        <v>3737596.75</v>
      </c>
      <c r="J28" s="37">
        <f t="shared" si="13"/>
        <v>4265515.8499999996</v>
      </c>
      <c r="K28" s="37">
        <f t="shared" si="13"/>
        <v>4836860.46</v>
      </c>
      <c r="L28" s="37">
        <f t="shared" si="13"/>
        <v>5309540.12</v>
      </c>
      <c r="M28" s="37">
        <f t="shared" si="13"/>
        <v>5904711.0200000005</v>
      </c>
      <c r="N28" s="37">
        <f t="shared" si="13"/>
        <v>6233819.8300000001</v>
      </c>
    </row>
    <row r="29" spans="1:15" x14ac:dyDescent="0.3">
      <c r="A29" s="24">
        <v>2014</v>
      </c>
      <c r="B29" s="37">
        <f>B15</f>
        <v>278717.65999999997</v>
      </c>
      <c r="C29" s="37">
        <f t="shared" ref="C29:N29" si="14">B29+C15</f>
        <v>623207.17999999993</v>
      </c>
      <c r="D29" s="37">
        <f t="shared" si="14"/>
        <v>1089537.93</v>
      </c>
      <c r="E29" s="37">
        <f t="shared" si="14"/>
        <v>1569726.67</v>
      </c>
      <c r="F29" s="37">
        <f t="shared" si="14"/>
        <v>2065331.8699999999</v>
      </c>
      <c r="G29" s="37">
        <f t="shared" si="14"/>
        <v>2627433.69</v>
      </c>
      <c r="H29" s="37">
        <f t="shared" si="14"/>
        <v>3172960.48</v>
      </c>
      <c r="I29" s="37">
        <f t="shared" si="14"/>
        <v>3592726.24</v>
      </c>
      <c r="J29" s="37">
        <f t="shared" si="14"/>
        <v>4093959.0500000003</v>
      </c>
      <c r="K29" s="37">
        <f t="shared" si="14"/>
        <v>4646690.0600000005</v>
      </c>
      <c r="L29" s="37">
        <f t="shared" si="14"/>
        <v>5087244.7700000005</v>
      </c>
      <c r="M29" s="37">
        <f t="shared" si="14"/>
        <v>5739957.0300000003</v>
      </c>
      <c r="N29" s="37">
        <f t="shared" si="14"/>
        <v>5998903.8100000005</v>
      </c>
      <c r="O29" s="36">
        <v>6524474</v>
      </c>
    </row>
    <row r="30" spans="1:15" x14ac:dyDescent="0.3">
      <c r="A30" s="24">
        <v>2015</v>
      </c>
      <c r="B30" s="37">
        <f>B16</f>
        <v>232624.31</v>
      </c>
      <c r="C30" s="37">
        <f t="shared" ref="C30:N30" si="15">B30+C16</f>
        <v>646516.47999999998</v>
      </c>
      <c r="D30" s="37">
        <f t="shared" si="15"/>
        <v>1151442.21</v>
      </c>
      <c r="E30" s="37">
        <f t="shared" si="15"/>
        <v>1631631</v>
      </c>
      <c r="F30" s="37">
        <f t="shared" si="15"/>
        <v>2100238.87</v>
      </c>
      <c r="G30" s="37">
        <f t="shared" si="15"/>
        <v>2706378.7800000003</v>
      </c>
      <c r="H30" s="37">
        <f t="shared" si="15"/>
        <v>3249361.75</v>
      </c>
      <c r="I30" s="37">
        <f t="shared" si="15"/>
        <v>3650458.91</v>
      </c>
      <c r="J30" s="37">
        <f t="shared" si="15"/>
        <v>4195632.17</v>
      </c>
      <c r="K30" s="37">
        <f t="shared" si="15"/>
        <v>4732070.71</v>
      </c>
      <c r="L30" s="37">
        <f t="shared" si="15"/>
        <v>5263651.43</v>
      </c>
      <c r="M30" s="37">
        <f t="shared" si="15"/>
        <v>5827943.0800000001</v>
      </c>
      <c r="N30" s="37">
        <f t="shared" si="15"/>
        <v>6075998.8700000001</v>
      </c>
      <c r="O30" s="36">
        <v>6642201</v>
      </c>
    </row>
    <row r="31" spans="1:15" x14ac:dyDescent="0.3">
      <c r="A31" s="24">
        <v>2016</v>
      </c>
      <c r="B31" s="37">
        <f>B17</f>
        <v>273492.40999999997</v>
      </c>
      <c r="C31" s="37">
        <f>B31+C17</f>
        <v>729849.64999999991</v>
      </c>
      <c r="D31" s="37">
        <f>C31+D17</f>
        <v>1275368.96</v>
      </c>
      <c r="E31" s="37">
        <f t="shared" ref="E31:J31" si="16">D31+E17</f>
        <v>1758121.0899999999</v>
      </c>
      <c r="F31" s="37">
        <f t="shared" si="16"/>
        <v>2272673.08</v>
      </c>
      <c r="G31" s="37">
        <f t="shared" si="16"/>
        <v>2828848.1100000003</v>
      </c>
      <c r="H31" s="37">
        <f t="shared" si="16"/>
        <v>3323257.7600000002</v>
      </c>
      <c r="I31" s="37">
        <f t="shared" si="16"/>
        <v>3797325.83</v>
      </c>
      <c r="J31" s="37">
        <f t="shared" si="16"/>
        <v>4502188.24</v>
      </c>
      <c r="K31" s="37">
        <f>J31+K17</f>
        <v>4974123.6400000006</v>
      </c>
      <c r="L31" s="37">
        <f t="shared" ref="L31:N31" si="17">K31+L17</f>
        <v>5575516.790000001</v>
      </c>
      <c r="M31" s="37">
        <f t="shared" si="17"/>
        <v>6054850.6000000006</v>
      </c>
      <c r="N31" s="37">
        <f t="shared" si="17"/>
        <v>6333091.0000000009</v>
      </c>
      <c r="O31" s="36">
        <v>6930735</v>
      </c>
    </row>
    <row r="32" spans="1:15" x14ac:dyDescent="0.3">
      <c r="A32" s="24">
        <v>2017</v>
      </c>
      <c r="B32" s="37">
        <f>B18</f>
        <v>381760.96</v>
      </c>
      <c r="C32" s="37">
        <f>B32+C18</f>
        <v>826421.74</v>
      </c>
      <c r="D32" s="37">
        <f t="shared" ref="D32:N32" si="18">C32+D18</f>
        <v>1390893.4</v>
      </c>
      <c r="E32" s="37">
        <f t="shared" si="18"/>
        <v>1906600.3699999999</v>
      </c>
      <c r="F32" s="37">
        <f t="shared" si="18"/>
        <v>2440868.38</v>
      </c>
      <c r="G32" s="37">
        <f t="shared" si="18"/>
        <v>2952669.77</v>
      </c>
      <c r="H32" s="37">
        <f t="shared" si="18"/>
        <v>3525233.23</v>
      </c>
      <c r="I32" s="37">
        <f t="shared" si="18"/>
        <v>3984058.23</v>
      </c>
      <c r="J32" s="37">
        <f t="shared" si="18"/>
        <v>4522409.74</v>
      </c>
      <c r="K32" s="37">
        <f t="shared" si="18"/>
        <v>5044391</v>
      </c>
      <c r="L32" s="37">
        <f t="shared" si="18"/>
        <v>5547290.8200000003</v>
      </c>
      <c r="M32" s="37">
        <f t="shared" si="18"/>
        <v>6007519.54</v>
      </c>
      <c r="N32" s="37">
        <f t="shared" si="18"/>
        <v>6265382.9400000004</v>
      </c>
    </row>
    <row r="33" spans="1:15" x14ac:dyDescent="0.3">
      <c r="A33" s="24">
        <v>2018</v>
      </c>
      <c r="B33" s="37">
        <f>B19</f>
        <v>349933.88</v>
      </c>
      <c r="C33" s="37">
        <f>B33+C19</f>
        <v>747299.81</v>
      </c>
      <c r="D33" s="37">
        <f>C33+D19</f>
        <v>1271446.78</v>
      </c>
      <c r="E33" s="37">
        <f>D33+E19</f>
        <v>1869421.34</v>
      </c>
      <c r="F33" s="37">
        <f>E33+F19</f>
        <v>2376228.75</v>
      </c>
      <c r="G33" s="37">
        <f t="shared" ref="G33:M33" si="19">F33+G19</f>
        <v>2899266.57</v>
      </c>
      <c r="H33" s="37">
        <f t="shared" si="19"/>
        <v>3523243.76</v>
      </c>
      <c r="I33" s="37">
        <f t="shared" si="19"/>
        <v>4032212.05</v>
      </c>
      <c r="J33" s="37">
        <f t="shared" si="19"/>
        <v>4547976.22</v>
      </c>
      <c r="K33" s="37">
        <f t="shared" si="19"/>
        <v>5111656.74</v>
      </c>
      <c r="L33" s="37">
        <f t="shared" si="19"/>
        <v>5649293.8300000001</v>
      </c>
      <c r="M33" s="37">
        <f t="shared" si="19"/>
        <v>6199287.0300000003</v>
      </c>
      <c r="N33" s="37"/>
    </row>
    <row r="35" spans="1:15" x14ac:dyDescent="0.3">
      <c r="A35" s="24" t="s">
        <v>556</v>
      </c>
      <c r="B35" s="24">
        <f>B2*$A$37</f>
        <v>555132.92307692312</v>
      </c>
      <c r="C35" s="24">
        <f t="shared" ref="C35:M35" si="20">C2*$A$37</f>
        <v>1110265.8461538462</v>
      </c>
      <c r="D35" s="24">
        <f t="shared" si="20"/>
        <v>1665398.7692307695</v>
      </c>
      <c r="E35" s="24">
        <f t="shared" si="20"/>
        <v>2220531.6923076925</v>
      </c>
      <c r="F35" s="24">
        <f t="shared" si="20"/>
        <v>2775664.6153846155</v>
      </c>
      <c r="G35" s="24">
        <f t="shared" si="20"/>
        <v>3330797.538461539</v>
      </c>
      <c r="H35" s="24">
        <f t="shared" si="20"/>
        <v>3885930.461538462</v>
      </c>
      <c r="I35" s="24">
        <f t="shared" si="20"/>
        <v>4441063.384615385</v>
      </c>
      <c r="J35" s="24">
        <f t="shared" si="20"/>
        <v>4996196.307692308</v>
      </c>
      <c r="K35" s="24">
        <f t="shared" si="20"/>
        <v>5551329.230769231</v>
      </c>
      <c r="L35" s="24">
        <f t="shared" si="20"/>
        <v>6106462.153846154</v>
      </c>
      <c r="M35" s="24">
        <f t="shared" si="20"/>
        <v>6661595.0769230779</v>
      </c>
      <c r="N35" s="24">
        <f>13*$A$37</f>
        <v>7216728.0000000009</v>
      </c>
    </row>
    <row r="36" spans="1:15" x14ac:dyDescent="0.3">
      <c r="A36" s="38">
        <f>Summary!B37</f>
        <v>7216728</v>
      </c>
    </row>
    <row r="37" spans="1:15" x14ac:dyDescent="0.3">
      <c r="A37" s="24">
        <f>A36/13</f>
        <v>555132.92307692312</v>
      </c>
    </row>
    <row r="39" spans="1:15" x14ac:dyDescent="0.3">
      <c r="A39" s="24" t="s">
        <v>586</v>
      </c>
      <c r="B39" s="39">
        <f>B14/$O14</f>
        <v>4.7544992593657111E-2</v>
      </c>
      <c r="C39" s="39">
        <f t="shared" ref="C39:N39" si="21">C14/$O14</f>
        <v>7.0412171240608584E-2</v>
      </c>
      <c r="D39" s="39">
        <f t="shared" si="21"/>
        <v>8.6477230220353335E-2</v>
      </c>
      <c r="E39" s="39">
        <f t="shared" si="21"/>
        <v>7.918016700079307E-2</v>
      </c>
      <c r="F39" s="39">
        <f t="shared" si="21"/>
        <v>8.125679749102252E-2</v>
      </c>
      <c r="G39" s="39">
        <f t="shared" si="21"/>
        <v>8.9647313254648364E-2</v>
      </c>
      <c r="H39" s="39">
        <f t="shared" si="21"/>
        <v>8.62115938084098E-2</v>
      </c>
      <c r="I39" s="39">
        <f t="shared" si="21"/>
        <v>7.1433888962453645E-2</v>
      </c>
      <c r="J39" s="39">
        <f t="shared" si="21"/>
        <v>9.5766406953366967E-2</v>
      </c>
      <c r="K39" s="39">
        <f t="shared" si="21"/>
        <v>8.1949043532285507E-2</v>
      </c>
      <c r="L39" s="39">
        <f t="shared" si="21"/>
        <v>8.759946644148911E-2</v>
      </c>
      <c r="M39" s="39">
        <f t="shared" si="21"/>
        <v>8.0529939495765104E-2</v>
      </c>
      <c r="N39" s="39">
        <f t="shared" si="21"/>
        <v>4.199098900514675E-2</v>
      </c>
    </row>
    <row r="40" spans="1:15" x14ac:dyDescent="0.3">
      <c r="A40" s="24" t="s">
        <v>584</v>
      </c>
      <c r="B40" s="8">
        <f t="shared" ref="B40:N40" si="22">B23/$N23</f>
        <v>4.7544992593657111E-2</v>
      </c>
      <c r="C40" s="8">
        <f t="shared" si="22"/>
        <v>0.11795716383426569</v>
      </c>
      <c r="D40" s="8">
        <f t="shared" si="22"/>
        <v>0.204434394054619</v>
      </c>
      <c r="E40" s="8">
        <f t="shared" si="22"/>
        <v>0.28361456105541205</v>
      </c>
      <c r="F40" s="8">
        <f t="shared" si="22"/>
        <v>0.3648713585464346</v>
      </c>
      <c r="G40" s="8">
        <f t="shared" si="22"/>
        <v>0.45451867180108296</v>
      </c>
      <c r="H40" s="8">
        <f t="shared" si="22"/>
        <v>0.54073026560949278</v>
      </c>
      <c r="I40" s="8">
        <f t="shared" si="22"/>
        <v>0.61216415457194651</v>
      </c>
      <c r="J40" s="8">
        <f t="shared" si="22"/>
        <v>0.70793056152531342</v>
      </c>
      <c r="K40" s="8">
        <f t="shared" si="22"/>
        <v>0.78987960505759902</v>
      </c>
      <c r="L40" s="8">
        <f t="shared" si="22"/>
        <v>0.8774790714990881</v>
      </c>
      <c r="M40" s="8">
        <f t="shared" si="22"/>
        <v>0.95800901099485325</v>
      </c>
      <c r="N40" s="8">
        <f t="shared" si="22"/>
        <v>1</v>
      </c>
    </row>
    <row r="41" spans="1:15" x14ac:dyDescent="0.3">
      <c r="A41" s="24">
        <v>2013</v>
      </c>
      <c r="B41" s="8">
        <f>B29/$N29</f>
        <v>4.646143175948006E-2</v>
      </c>
      <c r="C41" s="8">
        <f t="shared" ref="C41:N41" si="23">C29/$N29</f>
        <v>0.103886843286457</v>
      </c>
      <c r="D41" s="8">
        <f t="shared" si="23"/>
        <v>0.18162283718964981</v>
      </c>
      <c r="E41" s="8">
        <f t="shared" si="23"/>
        <v>0.2616689181418963</v>
      </c>
      <c r="F41" s="8">
        <f t="shared" si="23"/>
        <v>0.34428487860684664</v>
      </c>
      <c r="G41" s="8">
        <f t="shared" si="23"/>
        <v>0.43798563424540055</v>
      </c>
      <c r="H41" s="8">
        <f t="shared" si="23"/>
        <v>0.5289233800866695</v>
      </c>
      <c r="I41" s="8">
        <f t="shared" si="23"/>
        <v>0.59889712417309116</v>
      </c>
      <c r="J41" s="8">
        <f t="shared" si="23"/>
        <v>0.68245119102851559</v>
      </c>
      <c r="K41" s="8">
        <f t="shared" si="23"/>
        <v>0.77458985960970095</v>
      </c>
      <c r="L41" s="8">
        <f t="shared" si="23"/>
        <v>0.84802906182954785</v>
      </c>
      <c r="M41" s="8">
        <f t="shared" si="23"/>
        <v>0.95683431703499844</v>
      </c>
      <c r="N41" s="8">
        <f t="shared" si="23"/>
        <v>1</v>
      </c>
    </row>
    <row r="42" spans="1:15" x14ac:dyDescent="0.3">
      <c r="A42" s="24">
        <v>2015</v>
      </c>
      <c r="B42" s="8">
        <f t="shared" ref="B42:N44" si="24">B30/$N30</f>
        <v>3.8285772426419167E-2</v>
      </c>
      <c r="C42" s="8">
        <f t="shared" si="24"/>
        <v>0.10640497041435427</v>
      </c>
      <c r="D42" s="8">
        <f t="shared" si="24"/>
        <v>0.18950665308468037</v>
      </c>
      <c r="E42" s="8">
        <f t="shared" si="24"/>
        <v>0.26853708088329514</v>
      </c>
      <c r="F42" s="8">
        <f t="shared" si="24"/>
        <v>0.34566149779418903</v>
      </c>
      <c r="G42" s="8">
        <f t="shared" si="24"/>
        <v>0.4454212118706336</v>
      </c>
      <c r="H42" s="8">
        <f t="shared" si="24"/>
        <v>0.53478643092637701</v>
      </c>
      <c r="I42" s="8">
        <f t="shared" si="24"/>
        <v>0.60079980067540728</v>
      </c>
      <c r="J42" s="8">
        <f t="shared" si="24"/>
        <v>0.69052550202334051</v>
      </c>
      <c r="K42" s="8">
        <f t="shared" si="24"/>
        <v>0.77881362575039448</v>
      </c>
      <c r="L42" s="8">
        <f t="shared" si="24"/>
        <v>0.86630223978300369</v>
      </c>
      <c r="M42" s="8">
        <f t="shared" si="24"/>
        <v>0.95917448384910575</v>
      </c>
      <c r="N42" s="8">
        <f t="shared" si="24"/>
        <v>1</v>
      </c>
    </row>
    <row r="43" spans="1:15" x14ac:dyDescent="0.3">
      <c r="A43" s="24">
        <v>2016</v>
      </c>
      <c r="B43" s="8">
        <f t="shared" si="24"/>
        <v>4.318466448689904E-2</v>
      </c>
      <c r="C43" s="8">
        <f t="shared" si="24"/>
        <v>0.11524382801384028</v>
      </c>
      <c r="D43" s="8">
        <f t="shared" si="24"/>
        <v>0.20138175181755635</v>
      </c>
      <c r="E43" s="8">
        <f t="shared" si="24"/>
        <v>0.27760868902720642</v>
      </c>
      <c r="F43" s="8">
        <f t="shared" si="24"/>
        <v>0.35885684889100755</v>
      </c>
      <c r="G43" s="8">
        <f t="shared" si="24"/>
        <v>0.44667731917952858</v>
      </c>
      <c r="H43" s="8">
        <f t="shared" si="24"/>
        <v>0.52474498787400969</v>
      </c>
      <c r="I43" s="8">
        <f t="shared" si="24"/>
        <v>0.59960070524803755</v>
      </c>
      <c r="J43" s="8">
        <f t="shared" si="24"/>
        <v>0.71089902861019993</v>
      </c>
      <c r="K43" s="8">
        <f t="shared" si="24"/>
        <v>0.78541799573067872</v>
      </c>
      <c r="L43" s="8">
        <f t="shared" si="24"/>
        <v>0.88037844237513718</v>
      </c>
      <c r="M43" s="8">
        <f t="shared" si="24"/>
        <v>0.95606562419519947</v>
      </c>
      <c r="N43" s="8">
        <f t="shared" si="24"/>
        <v>1</v>
      </c>
      <c r="O43" s="37"/>
    </row>
    <row r="44" spans="1:15" x14ac:dyDescent="0.3">
      <c r="A44" s="24">
        <v>2017</v>
      </c>
      <c r="B44" s="8">
        <f t="shared" si="24"/>
        <v>6.0931784003612717E-2</v>
      </c>
      <c r="C44" s="8">
        <f t="shared" si="24"/>
        <v>0.13190282986916677</v>
      </c>
      <c r="D44" s="8">
        <f t="shared" si="24"/>
        <v>0.22199655046144712</v>
      </c>
      <c r="E44" s="8">
        <f t="shared" si="24"/>
        <v>0.30430707719838107</v>
      </c>
      <c r="F44" s="8">
        <f t="shared" si="24"/>
        <v>0.38958007888341456</v>
      </c>
      <c r="G44" s="8">
        <f t="shared" si="24"/>
        <v>0.47126724707428652</v>
      </c>
      <c r="H44" s="8">
        <f t="shared" si="24"/>
        <v>0.56265247691308706</v>
      </c>
      <c r="I44" s="8">
        <f t="shared" si="24"/>
        <v>0.63588423375762559</v>
      </c>
      <c r="J44" s="8">
        <f t="shared" si="24"/>
        <v>0.7218089912952711</v>
      </c>
      <c r="K44" s="8">
        <f t="shared" si="24"/>
        <v>0.80512093966278775</v>
      </c>
      <c r="L44" s="8">
        <f t="shared" si="24"/>
        <v>0.88538735351426101</v>
      </c>
      <c r="M44" s="8">
        <f t="shared" si="24"/>
        <v>0.95884315412650578</v>
      </c>
      <c r="N44" s="8">
        <f t="shared" si="24"/>
        <v>1</v>
      </c>
      <c r="O44" s="37"/>
    </row>
    <row r="45" spans="1:15" x14ac:dyDescent="0.3">
      <c r="A45" s="24">
        <v>2018</v>
      </c>
      <c r="B45" s="48">
        <f>B33/B40</f>
        <v>7360057.5141678331</v>
      </c>
      <c r="C45" s="48">
        <f t="shared" ref="C45:N45" si="25">C33/C40</f>
        <v>6335349.0852830671</v>
      </c>
      <c r="D45" s="48">
        <f t="shared" si="25"/>
        <v>6219338.9027303597</v>
      </c>
      <c r="E45" s="48">
        <f t="shared" si="25"/>
        <v>6591415.2399063753</v>
      </c>
      <c r="F45" s="48">
        <f t="shared" si="25"/>
        <v>6512511.0380446436</v>
      </c>
      <c r="G45" s="48">
        <f t="shared" si="25"/>
        <v>6378762.3036724096</v>
      </c>
      <c r="H45" s="48">
        <f t="shared" si="25"/>
        <v>6515713.9965685466</v>
      </c>
      <c r="I45" s="48">
        <f t="shared" si="25"/>
        <v>6586815.0232015941</v>
      </c>
      <c r="J45" s="48">
        <f t="shared" si="25"/>
        <v>6424325.304166683</v>
      </c>
      <c r="K45" s="48">
        <f t="shared" si="25"/>
        <v>6471437.8080786774</v>
      </c>
      <c r="L45" s="48">
        <f t="shared" si="25"/>
        <v>6438095.2361048656</v>
      </c>
      <c r="M45" s="48">
        <f t="shared" si="25"/>
        <v>6471011.1897197021</v>
      </c>
      <c r="N45" s="48">
        <f t="shared" si="25"/>
        <v>0</v>
      </c>
      <c r="O45" s="37"/>
    </row>
    <row r="46" spans="1:15" x14ac:dyDescent="0.3">
      <c r="H46" s="8"/>
    </row>
    <row r="47" spans="1:15" x14ac:dyDescent="0.3">
      <c r="A47" s="24" t="s">
        <v>587</v>
      </c>
      <c r="B47" s="37">
        <f>MIN(B24:B31)</f>
        <v>171090.61</v>
      </c>
      <c r="C47" s="37">
        <f t="shared" ref="C47:N47" si="26">MIN(C24:C31)</f>
        <v>527805.67999999993</v>
      </c>
      <c r="D47" s="37">
        <f t="shared" si="26"/>
        <v>1021515.6499999999</v>
      </c>
      <c r="E47" s="37">
        <f t="shared" si="26"/>
        <v>1517621.5</v>
      </c>
      <c r="F47" s="37">
        <f t="shared" si="26"/>
        <v>1977236.27</v>
      </c>
      <c r="G47" s="37">
        <f t="shared" si="26"/>
        <v>2498751.29</v>
      </c>
      <c r="H47" s="37">
        <f t="shared" si="26"/>
        <v>3074884.44</v>
      </c>
      <c r="I47" s="37">
        <f t="shared" si="26"/>
        <v>3490199.51</v>
      </c>
      <c r="J47" s="37">
        <f t="shared" si="26"/>
        <v>4032542.1399999997</v>
      </c>
      <c r="K47" s="37">
        <f t="shared" si="26"/>
        <v>4595137.13</v>
      </c>
      <c r="L47" s="37">
        <f t="shared" si="26"/>
        <v>5087244.7700000005</v>
      </c>
      <c r="M47" s="37">
        <f t="shared" si="26"/>
        <v>5739957.0300000003</v>
      </c>
      <c r="N47" s="37">
        <f t="shared" si="26"/>
        <v>5998903.8100000005</v>
      </c>
    </row>
    <row r="48" spans="1:15" x14ac:dyDescent="0.3">
      <c r="A48" s="24" t="s">
        <v>588</v>
      </c>
      <c r="B48" s="37">
        <f>MEDIAN(B24:B31)</f>
        <v>229181.47500000001</v>
      </c>
      <c r="C48" s="37">
        <f t="shared" ref="C48:N48" si="27">MEDIAN(C24:C31)</f>
        <v>633144.32999999996</v>
      </c>
      <c r="D48" s="37">
        <f t="shared" si="27"/>
        <v>1141015.71</v>
      </c>
      <c r="E48" s="37">
        <f t="shared" si="27"/>
        <v>1688402.72</v>
      </c>
      <c r="F48" s="37">
        <f t="shared" si="27"/>
        <v>2124152.6950000003</v>
      </c>
      <c r="G48" s="37">
        <f t="shared" si="27"/>
        <v>2677550.4850000003</v>
      </c>
      <c r="H48" s="37">
        <f t="shared" si="27"/>
        <v>3242914.6349999998</v>
      </c>
      <c r="I48" s="37">
        <f t="shared" si="27"/>
        <v>3715479.77</v>
      </c>
      <c r="J48" s="37">
        <f t="shared" si="27"/>
        <v>4234948.53</v>
      </c>
      <c r="K48" s="37">
        <f t="shared" si="27"/>
        <v>4778510.99</v>
      </c>
      <c r="L48" s="37">
        <f t="shared" si="27"/>
        <v>5286595.7750000004</v>
      </c>
      <c r="M48" s="37">
        <f t="shared" si="27"/>
        <v>5848189.3950000005</v>
      </c>
      <c r="N48" s="37">
        <f t="shared" si="27"/>
        <v>6160121.8600000003</v>
      </c>
    </row>
    <row r="49" spans="1:14" x14ac:dyDescent="0.3">
      <c r="A49" s="24" t="s">
        <v>589</v>
      </c>
      <c r="B49" s="37">
        <f>MAX(B24:B31)</f>
        <v>278717.65999999997</v>
      </c>
      <c r="C49" s="37">
        <f t="shared" ref="C49:N49" si="28">MAX(C24:C31)</f>
        <v>729849.64999999991</v>
      </c>
      <c r="D49" s="37">
        <f t="shared" si="28"/>
        <v>1275368.96</v>
      </c>
      <c r="E49" s="37">
        <f t="shared" si="28"/>
        <v>1758121.0899999999</v>
      </c>
      <c r="F49" s="37">
        <f t="shared" si="28"/>
        <v>2272673.08</v>
      </c>
      <c r="G49" s="37">
        <f t="shared" si="28"/>
        <v>2828848.1100000003</v>
      </c>
      <c r="H49" s="37">
        <f t="shared" si="28"/>
        <v>3323257.7600000002</v>
      </c>
      <c r="I49" s="37">
        <f t="shared" si="28"/>
        <v>3797325.83</v>
      </c>
      <c r="J49" s="37">
        <f t="shared" si="28"/>
        <v>4502188.24</v>
      </c>
      <c r="K49" s="37">
        <f t="shared" si="28"/>
        <v>4974123.6400000006</v>
      </c>
      <c r="L49" s="37">
        <f t="shared" si="28"/>
        <v>5575516.790000001</v>
      </c>
      <c r="M49" s="37">
        <f t="shared" si="28"/>
        <v>6054850.6000000006</v>
      </c>
      <c r="N49" s="37">
        <f t="shared" si="28"/>
        <v>6333091.0000000009</v>
      </c>
    </row>
    <row r="51" spans="1:14" x14ac:dyDescent="0.3">
      <c r="A51" s="24" t="s">
        <v>590</v>
      </c>
    </row>
    <row r="54" spans="1:14" x14ac:dyDescent="0.3">
      <c r="B54" s="24" t="s">
        <v>591</v>
      </c>
      <c r="C54" s="24" t="s">
        <v>592</v>
      </c>
      <c r="D54" s="24" t="s">
        <v>593</v>
      </c>
      <c r="E54" s="24" t="s">
        <v>594</v>
      </c>
      <c r="F54" s="24" t="s">
        <v>595</v>
      </c>
      <c r="G54" s="24" t="s">
        <v>596</v>
      </c>
      <c r="H54" s="24" t="s">
        <v>597</v>
      </c>
      <c r="I54" s="24" t="s">
        <v>598</v>
      </c>
      <c r="J54" s="24" t="s">
        <v>599</v>
      </c>
      <c r="K54" s="24" t="s">
        <v>600</v>
      </c>
      <c r="L54" s="24" t="s">
        <v>601</v>
      </c>
      <c r="M54" s="24" t="s">
        <v>602</v>
      </c>
      <c r="N54" s="24" t="s">
        <v>591</v>
      </c>
    </row>
    <row r="57" spans="1:14" x14ac:dyDescent="0.3">
      <c r="A57" s="24" t="s">
        <v>605</v>
      </c>
    </row>
    <row r="59" spans="1:14" x14ac:dyDescent="0.3">
      <c r="A59" s="24">
        <v>2015</v>
      </c>
      <c r="B59" s="24" t="s">
        <v>606</v>
      </c>
      <c r="C59" s="24" t="s">
        <v>610</v>
      </c>
      <c r="D59" s="24">
        <v>137</v>
      </c>
      <c r="E59" s="24" t="s">
        <v>610</v>
      </c>
      <c r="F59" s="24">
        <v>68</v>
      </c>
      <c r="G59" s="24">
        <v>25</v>
      </c>
      <c r="H59" s="24">
        <v>17</v>
      </c>
      <c r="I59" s="24">
        <v>10</v>
      </c>
      <c r="J59" s="24">
        <v>9</v>
      </c>
      <c r="K59" s="24">
        <v>8</v>
      </c>
      <c r="L59" s="24">
        <v>8</v>
      </c>
      <c r="M59" s="24">
        <v>4</v>
      </c>
      <c r="N59" s="24">
        <v>4</v>
      </c>
    </row>
    <row r="60" spans="1:14" x14ac:dyDescent="0.3">
      <c r="A60" s="24">
        <v>2016</v>
      </c>
      <c r="B60" s="24" t="s">
        <v>606</v>
      </c>
      <c r="C60" s="24">
        <v>179</v>
      </c>
      <c r="D60" s="24">
        <v>112</v>
      </c>
      <c r="E60" s="24">
        <v>73</v>
      </c>
      <c r="F60" s="24">
        <v>52</v>
      </c>
      <c r="G60" s="24">
        <v>35</v>
      </c>
      <c r="H60" s="24">
        <v>25</v>
      </c>
      <c r="I60" s="24">
        <v>17</v>
      </c>
      <c r="J60" s="24">
        <v>11</v>
      </c>
      <c r="K60" s="24">
        <v>6</v>
      </c>
      <c r="L60" s="24">
        <v>4</v>
      </c>
      <c r="M60" s="24">
        <v>0</v>
      </c>
      <c r="N60" s="24">
        <v>0</v>
      </c>
    </row>
    <row r="61" spans="1:14" x14ac:dyDescent="0.3">
      <c r="A61" s="24">
        <v>2017</v>
      </c>
      <c r="B61" s="24" t="s">
        <v>606</v>
      </c>
      <c r="C61" s="24">
        <v>177</v>
      </c>
      <c r="D61" s="24">
        <v>105</v>
      </c>
      <c r="E61" s="24">
        <v>65</v>
      </c>
      <c r="F61" s="24">
        <v>43</v>
      </c>
      <c r="G61" s="24">
        <v>28</v>
      </c>
      <c r="H61" s="24">
        <v>18</v>
      </c>
      <c r="I61" s="24">
        <v>15</v>
      </c>
      <c r="J61" s="24">
        <v>10</v>
      </c>
      <c r="K61" s="24">
        <v>7</v>
      </c>
      <c r="L61" s="24">
        <v>3</v>
      </c>
      <c r="M61" s="24">
        <v>2</v>
      </c>
      <c r="N61" s="24">
        <v>1</v>
      </c>
    </row>
    <row r="62" spans="1:14" x14ac:dyDescent="0.3">
      <c r="A62" s="24">
        <v>2018</v>
      </c>
      <c r="B62" s="24" t="s">
        <v>606</v>
      </c>
      <c r="C62" s="24">
        <v>178</v>
      </c>
      <c r="D62" s="24">
        <v>117</v>
      </c>
      <c r="E62" s="24">
        <v>72</v>
      </c>
      <c r="F62" s="24">
        <v>50</v>
      </c>
      <c r="H62" s="24">
        <v>23</v>
      </c>
      <c r="I62" s="24">
        <v>22</v>
      </c>
      <c r="J62" s="24">
        <v>19</v>
      </c>
      <c r="K62" s="24">
        <v>17</v>
      </c>
      <c r="L62" s="24">
        <v>9</v>
      </c>
      <c r="M62" s="24">
        <v>9</v>
      </c>
    </row>
    <row r="64" spans="1:14" x14ac:dyDescent="0.3">
      <c r="A64" s="24" t="s">
        <v>607</v>
      </c>
    </row>
    <row r="66" spans="1:14" x14ac:dyDescent="0.3">
      <c r="A66" s="24">
        <v>2015</v>
      </c>
      <c r="B66" s="24" t="s">
        <v>606</v>
      </c>
      <c r="C66" s="24" t="s">
        <v>610</v>
      </c>
      <c r="D66" s="24">
        <v>140</v>
      </c>
      <c r="E66" s="24" t="s">
        <v>610</v>
      </c>
      <c r="F66" s="24">
        <v>205</v>
      </c>
      <c r="G66" s="24">
        <v>198</v>
      </c>
      <c r="H66" s="24">
        <v>237</v>
      </c>
      <c r="I66" s="24">
        <v>223</v>
      </c>
      <c r="J66" s="24">
        <v>199</v>
      </c>
      <c r="K66" s="24">
        <v>205</v>
      </c>
      <c r="L66" s="24">
        <v>177</v>
      </c>
      <c r="M66" s="24">
        <v>93</v>
      </c>
      <c r="N66" s="24">
        <v>93</v>
      </c>
    </row>
    <row r="67" spans="1:14" x14ac:dyDescent="0.3">
      <c r="A67" s="24">
        <v>2016</v>
      </c>
      <c r="B67" s="24" t="s">
        <v>606</v>
      </c>
      <c r="C67" s="24">
        <v>116</v>
      </c>
      <c r="D67" s="24">
        <v>150</v>
      </c>
      <c r="E67" s="24">
        <v>208</v>
      </c>
      <c r="F67" s="24">
        <v>224</v>
      </c>
      <c r="G67" s="24">
        <v>215</v>
      </c>
      <c r="H67" s="24">
        <v>241</v>
      </c>
      <c r="I67" s="24">
        <v>240</v>
      </c>
      <c r="J67" s="24">
        <v>211</v>
      </c>
      <c r="K67" s="24">
        <v>212</v>
      </c>
      <c r="L67" s="24">
        <v>180</v>
      </c>
      <c r="M67" s="24">
        <v>93</v>
      </c>
      <c r="N67" s="24">
        <v>93</v>
      </c>
    </row>
    <row r="68" spans="1:14" x14ac:dyDescent="0.3">
      <c r="A68" s="24">
        <v>2017</v>
      </c>
      <c r="B68" s="24" t="s">
        <v>606</v>
      </c>
      <c r="C68" s="24">
        <v>107</v>
      </c>
      <c r="D68" s="24">
        <v>136</v>
      </c>
      <c r="E68" s="24">
        <v>194</v>
      </c>
      <c r="F68" s="24">
        <v>193</v>
      </c>
      <c r="G68" s="24">
        <v>186</v>
      </c>
      <c r="H68" s="24">
        <v>202</v>
      </c>
      <c r="I68" s="24">
        <v>202</v>
      </c>
      <c r="J68" s="24">
        <v>203</v>
      </c>
      <c r="K68" s="24">
        <v>198</v>
      </c>
      <c r="L68" s="24">
        <v>167</v>
      </c>
      <c r="M68" s="24">
        <v>122</v>
      </c>
      <c r="N68" s="24">
        <v>79</v>
      </c>
    </row>
    <row r="69" spans="1:14" x14ac:dyDescent="0.3">
      <c r="A69" s="24">
        <v>2018</v>
      </c>
      <c r="B69" s="24" t="s">
        <v>606</v>
      </c>
      <c r="C69" s="24">
        <v>125</v>
      </c>
      <c r="D69" s="24">
        <v>120</v>
      </c>
      <c r="E69" s="24">
        <v>195</v>
      </c>
      <c r="F69" s="24">
        <v>216</v>
      </c>
      <c r="H69" s="24">
        <v>220</v>
      </c>
      <c r="I69" s="24">
        <v>214</v>
      </c>
      <c r="J69" s="24">
        <v>213</v>
      </c>
      <c r="K69" s="24">
        <v>206</v>
      </c>
      <c r="L69" s="24">
        <v>195</v>
      </c>
      <c r="M69" s="24">
        <v>134</v>
      </c>
    </row>
    <row r="71" spans="1:14" x14ac:dyDescent="0.3">
      <c r="A71" s="24" t="s">
        <v>608</v>
      </c>
    </row>
    <row r="73" spans="1:14" x14ac:dyDescent="0.3">
      <c r="A73" s="24">
        <v>2015</v>
      </c>
      <c r="B73" s="24" t="s">
        <v>606</v>
      </c>
      <c r="C73" s="24" t="s">
        <v>610</v>
      </c>
      <c r="D73" s="24">
        <v>138</v>
      </c>
      <c r="E73" s="24" t="s">
        <v>610</v>
      </c>
      <c r="F73" s="24">
        <v>106</v>
      </c>
      <c r="G73" s="24">
        <v>134</v>
      </c>
      <c r="H73" s="24">
        <v>94</v>
      </c>
      <c r="I73" s="24">
        <v>111</v>
      </c>
      <c r="J73" s="24">
        <v>120</v>
      </c>
      <c r="K73" s="24">
        <v>90</v>
      </c>
      <c r="L73" s="24">
        <v>68</v>
      </c>
      <c r="M73" s="24" t="s">
        <v>606</v>
      </c>
      <c r="N73" s="24" t="s">
        <v>606</v>
      </c>
    </row>
    <row r="74" spans="1:14" x14ac:dyDescent="0.3">
      <c r="A74" s="24">
        <v>2016</v>
      </c>
      <c r="B74" s="24" t="s">
        <v>606</v>
      </c>
      <c r="C74" s="24">
        <v>100</v>
      </c>
      <c r="D74" s="24">
        <v>124</v>
      </c>
      <c r="E74" s="24">
        <v>112</v>
      </c>
      <c r="F74" s="24">
        <v>119</v>
      </c>
      <c r="G74" s="24">
        <v>140</v>
      </c>
      <c r="H74" s="24">
        <v>125</v>
      </c>
      <c r="I74" s="24">
        <v>129</v>
      </c>
      <c r="J74" s="24">
        <v>135</v>
      </c>
      <c r="K74" s="24">
        <v>102</v>
      </c>
      <c r="L74" s="24">
        <v>71</v>
      </c>
      <c r="M74" s="24" t="s">
        <v>606</v>
      </c>
      <c r="N74" s="24" t="s">
        <v>606</v>
      </c>
    </row>
    <row r="75" spans="1:14" x14ac:dyDescent="0.3">
      <c r="A75" s="24">
        <v>2017</v>
      </c>
      <c r="B75" s="24" t="s">
        <v>606</v>
      </c>
      <c r="C75" s="24">
        <v>112</v>
      </c>
      <c r="D75" s="24">
        <v>153</v>
      </c>
      <c r="E75" s="24">
        <v>124</v>
      </c>
      <c r="F75" s="24">
        <v>145</v>
      </c>
      <c r="G75" s="24">
        <v>176</v>
      </c>
      <c r="H75" s="24">
        <v>166</v>
      </c>
      <c r="I75" s="24">
        <v>152</v>
      </c>
      <c r="J75" s="24">
        <v>143</v>
      </c>
      <c r="K75" s="24">
        <v>121</v>
      </c>
      <c r="L75" s="24">
        <v>87</v>
      </c>
      <c r="M75" s="24" t="s">
        <v>606</v>
      </c>
      <c r="N75" s="24" t="s">
        <v>606</v>
      </c>
    </row>
    <row r="76" spans="1:14" x14ac:dyDescent="0.3">
      <c r="A76" s="24">
        <v>2018</v>
      </c>
      <c r="B76" s="24" t="s">
        <v>606</v>
      </c>
      <c r="C76" s="24">
        <v>99</v>
      </c>
      <c r="D76" s="24">
        <v>144</v>
      </c>
      <c r="E76" s="24">
        <v>145</v>
      </c>
      <c r="F76" s="24">
        <v>140</v>
      </c>
      <c r="H76" s="24">
        <v>150</v>
      </c>
      <c r="I76" s="24">
        <v>143</v>
      </c>
      <c r="J76" s="24">
        <v>137</v>
      </c>
      <c r="K76" s="24">
        <v>115</v>
      </c>
      <c r="L76" s="24">
        <v>85</v>
      </c>
      <c r="M76" s="24" t="s">
        <v>606</v>
      </c>
    </row>
    <row r="78" spans="1:14" x14ac:dyDescent="0.3">
      <c r="A78" s="24" t="s">
        <v>609</v>
      </c>
    </row>
    <row r="80" spans="1:14" x14ac:dyDescent="0.3">
      <c r="A80" s="24">
        <v>2015</v>
      </c>
      <c r="B80" s="24" t="s">
        <v>606</v>
      </c>
      <c r="C80" s="24" t="s">
        <v>610</v>
      </c>
      <c r="D80" s="24">
        <v>4</v>
      </c>
      <c r="E80" s="24" t="s">
        <v>610</v>
      </c>
      <c r="F80" s="24">
        <v>10</v>
      </c>
      <c r="G80" s="24">
        <v>18</v>
      </c>
      <c r="H80" s="24">
        <v>23</v>
      </c>
      <c r="I80" s="24">
        <v>28</v>
      </c>
      <c r="J80" s="24">
        <v>37</v>
      </c>
      <c r="K80" s="24">
        <v>75</v>
      </c>
      <c r="L80" s="24">
        <v>127</v>
      </c>
      <c r="M80" s="24">
        <v>288</v>
      </c>
      <c r="N80" s="24">
        <v>288</v>
      </c>
    </row>
    <row r="81" spans="1:14" x14ac:dyDescent="0.3">
      <c r="A81" s="24">
        <v>2016</v>
      </c>
      <c r="B81" s="24" t="s">
        <v>606</v>
      </c>
      <c r="C81" s="24">
        <v>5</v>
      </c>
      <c r="D81" s="24">
        <v>8</v>
      </c>
      <c r="E81" s="24">
        <v>9</v>
      </c>
      <c r="F81" s="24">
        <v>9</v>
      </c>
      <c r="G81" s="24">
        <v>12</v>
      </c>
      <c r="H81" s="24">
        <v>17</v>
      </c>
      <c r="I81" s="24">
        <v>21</v>
      </c>
      <c r="J81" s="24">
        <v>45</v>
      </c>
      <c r="K81" s="24">
        <v>83</v>
      </c>
      <c r="L81" s="24">
        <v>146</v>
      </c>
      <c r="M81" s="24">
        <v>326</v>
      </c>
      <c r="N81" s="24">
        <v>326</v>
      </c>
    </row>
    <row r="82" spans="1:14" x14ac:dyDescent="0.3">
      <c r="A82" s="24">
        <v>2017</v>
      </c>
      <c r="B82" s="24" t="s">
        <v>606</v>
      </c>
      <c r="C82" s="24">
        <v>7</v>
      </c>
      <c r="D82" s="24">
        <v>11</v>
      </c>
      <c r="E82" s="24">
        <v>15</v>
      </c>
      <c r="F82" s="24">
        <v>17</v>
      </c>
      <c r="G82" s="24">
        <v>20</v>
      </c>
      <c r="H82" s="24">
        <v>28</v>
      </c>
      <c r="I82" s="24">
        <v>35</v>
      </c>
      <c r="J82" s="24">
        <v>54</v>
      </c>
      <c r="K82" s="24">
        <v>84</v>
      </c>
      <c r="L82" s="24">
        <v>152</v>
      </c>
      <c r="M82" s="24">
        <v>287</v>
      </c>
      <c r="N82" s="24">
        <v>331</v>
      </c>
    </row>
    <row r="83" spans="1:14" x14ac:dyDescent="0.3">
      <c r="A83" s="24">
        <v>2018</v>
      </c>
      <c r="B83" s="24" t="s">
        <v>606</v>
      </c>
      <c r="C83" s="24">
        <v>6</v>
      </c>
      <c r="D83" s="24">
        <v>9</v>
      </c>
      <c r="E83" s="24">
        <v>12</v>
      </c>
      <c r="F83" s="24">
        <v>14</v>
      </c>
      <c r="H83" s="24">
        <v>30</v>
      </c>
      <c r="I83" s="24">
        <v>39</v>
      </c>
      <c r="J83" s="24">
        <v>54</v>
      </c>
      <c r="K83" s="24">
        <v>83</v>
      </c>
      <c r="L83" s="24">
        <v>133</v>
      </c>
      <c r="M83" s="24">
        <v>280</v>
      </c>
    </row>
  </sheetData>
  <conditionalFormatting sqref="B24:B33 C31:N33">
    <cfRule type="colorScale" priority="1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C24:C30">
    <cfRule type="colorScale" priority="1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D24:D30">
    <cfRule type="colorScale" priority="1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E24:E30">
    <cfRule type="colorScale" priority="10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F24:F30">
    <cfRule type="colorScale" priority="9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G24:G30">
    <cfRule type="colorScale" priority="8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H24:H30 I30:N30">
    <cfRule type="colorScale" priority="7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I24:I29">
    <cfRule type="colorScale" priority="6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J24:J29">
    <cfRule type="colorScale" priority="5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K24:K29">
    <cfRule type="colorScale" priority="4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L24:L29">
    <cfRule type="colorScale" priority="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M24:M29">
    <cfRule type="colorScale" priority="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N24:N29">
    <cfRule type="colorScale" priority="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9"/>
  <sheetViews>
    <sheetView workbookViewId="0">
      <selection activeCell="G58" sqref="G58"/>
    </sheetView>
  </sheetViews>
  <sheetFormatPr defaultColWidth="9" defaultRowHeight="14.5" x14ac:dyDescent="0.35"/>
  <cols>
    <col min="1" max="1" width="69.5" style="331" customWidth="1"/>
    <col min="2" max="2" width="9.75" style="331" customWidth="1"/>
    <col min="3" max="6" width="8" style="331" customWidth="1"/>
    <col min="7" max="7" width="10.58203125" style="331" customWidth="1"/>
    <col min="8" max="8" width="8" style="331" customWidth="1"/>
    <col min="9" max="9" width="10.08203125" style="331" customWidth="1"/>
    <col min="10" max="11" width="8" style="331" customWidth="1"/>
    <col min="12" max="12" width="10.5" style="331" customWidth="1"/>
    <col min="13" max="15" width="8" style="331" customWidth="1"/>
    <col min="16" max="16384" width="9" style="331"/>
  </cols>
  <sheetData>
    <row r="1" spans="1:15" x14ac:dyDescent="0.35">
      <c r="A1" s="330" t="s">
        <v>621</v>
      </c>
      <c r="B1" s="330" t="s">
        <v>1590</v>
      </c>
      <c r="G1" s="332"/>
      <c r="J1" s="332"/>
      <c r="N1" s="332"/>
      <c r="O1" s="332"/>
    </row>
    <row r="2" spans="1:15" x14ac:dyDescent="0.35">
      <c r="A2" s="331" t="s">
        <v>847</v>
      </c>
      <c r="B2" s="356">
        <v>500</v>
      </c>
      <c r="E2" s="333"/>
      <c r="G2" s="333"/>
      <c r="J2" s="333"/>
      <c r="N2" s="333"/>
      <c r="O2" s="333"/>
    </row>
    <row r="3" spans="1:15" x14ac:dyDescent="0.35">
      <c r="A3" s="331" t="s">
        <v>629</v>
      </c>
      <c r="B3" s="356">
        <v>322</v>
      </c>
      <c r="E3" s="333"/>
      <c r="G3" s="333"/>
      <c r="J3" s="333"/>
      <c r="N3" s="333"/>
      <c r="O3" s="333"/>
    </row>
    <row r="4" spans="1:15" x14ac:dyDescent="0.35">
      <c r="A4" s="331" t="s">
        <v>632</v>
      </c>
      <c r="B4" s="356">
        <v>1483</v>
      </c>
      <c r="E4" s="334"/>
      <c r="G4" s="333"/>
      <c r="J4" s="333"/>
      <c r="N4" s="333"/>
      <c r="O4" s="333"/>
    </row>
    <row r="5" spans="1:15" x14ac:dyDescent="0.35">
      <c r="A5" s="331" t="s">
        <v>1402</v>
      </c>
      <c r="B5" s="356">
        <v>1000</v>
      </c>
      <c r="E5" s="334"/>
      <c r="G5" s="334"/>
      <c r="J5" s="334"/>
      <c r="N5" s="334"/>
      <c r="O5" s="334"/>
    </row>
    <row r="6" spans="1:15" x14ac:dyDescent="0.35">
      <c r="A6" s="331" t="s">
        <v>634</v>
      </c>
      <c r="B6" s="356">
        <v>100</v>
      </c>
      <c r="E6" s="333"/>
      <c r="G6" s="333"/>
      <c r="J6" s="333"/>
      <c r="N6" s="333"/>
      <c r="O6" s="333"/>
    </row>
    <row r="7" spans="1:15" x14ac:dyDescent="0.35">
      <c r="A7" s="331" t="s">
        <v>636</v>
      </c>
      <c r="B7" s="356">
        <v>236</v>
      </c>
      <c r="E7" s="333"/>
      <c r="G7" s="333"/>
      <c r="J7" s="333"/>
      <c r="N7" s="333"/>
      <c r="O7" s="333"/>
    </row>
    <row r="8" spans="1:15" x14ac:dyDescent="0.35">
      <c r="A8" s="331" t="s">
        <v>639</v>
      </c>
      <c r="B8" s="356">
        <v>711</v>
      </c>
      <c r="E8" s="333"/>
      <c r="G8" s="333"/>
      <c r="J8" s="333"/>
      <c r="N8" s="333"/>
      <c r="O8" s="333"/>
    </row>
    <row r="9" spans="1:15" x14ac:dyDescent="0.35">
      <c r="A9" s="331" t="s">
        <v>649</v>
      </c>
      <c r="B9" s="356">
        <v>3778</v>
      </c>
      <c r="E9" s="334"/>
      <c r="G9" s="333"/>
      <c r="J9" s="333"/>
      <c r="N9" s="333"/>
      <c r="O9" s="333"/>
    </row>
    <row r="10" spans="1:15" x14ac:dyDescent="0.35">
      <c r="A10" s="331" t="s">
        <v>651</v>
      </c>
      <c r="B10" s="356">
        <v>4000</v>
      </c>
      <c r="E10" s="333"/>
      <c r="G10" s="333"/>
      <c r="J10" s="333"/>
      <c r="N10" s="333"/>
      <c r="O10" s="333"/>
    </row>
    <row r="11" spans="1:15" x14ac:dyDescent="0.35">
      <c r="A11" s="331" t="s">
        <v>652</v>
      </c>
      <c r="B11" s="356">
        <v>1950</v>
      </c>
      <c r="E11" s="334"/>
      <c r="G11" s="333"/>
      <c r="J11" s="333"/>
      <c r="N11" s="333"/>
      <c r="O11" s="333"/>
    </row>
    <row r="12" spans="1:15" x14ac:dyDescent="0.35">
      <c r="A12" s="331" t="s">
        <v>654</v>
      </c>
      <c r="B12" s="356">
        <v>1063</v>
      </c>
      <c r="E12" s="334"/>
      <c r="G12" s="333"/>
      <c r="J12" s="333"/>
      <c r="N12" s="333"/>
      <c r="O12" s="333"/>
    </row>
    <row r="13" spans="1:15" x14ac:dyDescent="0.35">
      <c r="A13" s="331" t="s">
        <v>655</v>
      </c>
      <c r="B13" s="356">
        <v>5000</v>
      </c>
      <c r="E13" s="334"/>
      <c r="G13" s="333"/>
      <c r="J13" s="333"/>
      <c r="N13" s="333"/>
      <c r="O13" s="333"/>
    </row>
    <row r="14" spans="1:15" x14ac:dyDescent="0.35">
      <c r="A14" s="331" t="s">
        <v>1471</v>
      </c>
      <c r="B14" s="356">
        <v>2253</v>
      </c>
      <c r="E14" s="334"/>
      <c r="G14" s="333"/>
      <c r="J14" s="333"/>
      <c r="N14" s="333"/>
      <c r="O14" s="333"/>
    </row>
    <row r="15" spans="1:15" x14ac:dyDescent="0.35">
      <c r="A15" s="331" t="s">
        <v>670</v>
      </c>
      <c r="B15" s="356">
        <v>2750</v>
      </c>
      <c r="E15" s="333"/>
      <c r="G15" s="333"/>
      <c r="J15" s="333"/>
      <c r="N15" s="333"/>
      <c r="O15" s="333"/>
    </row>
    <row r="16" spans="1:15" x14ac:dyDescent="0.35">
      <c r="A16" s="331" t="s">
        <v>671</v>
      </c>
      <c r="B16" s="356">
        <v>2363</v>
      </c>
      <c r="E16" s="333"/>
      <c r="G16" s="333"/>
      <c r="J16" s="333"/>
      <c r="N16" s="333"/>
      <c r="O16" s="333"/>
    </row>
    <row r="17" spans="1:15" x14ac:dyDescent="0.35">
      <c r="A17" s="331" t="s">
        <v>673</v>
      </c>
      <c r="B17" s="356">
        <v>500</v>
      </c>
      <c r="E17" s="333"/>
      <c r="G17" s="333"/>
      <c r="J17" s="333"/>
      <c r="N17" s="333"/>
      <c r="O17" s="333"/>
    </row>
    <row r="18" spans="1:15" x14ac:dyDescent="0.35">
      <c r="A18" s="331" t="s">
        <v>680</v>
      </c>
      <c r="B18" s="356">
        <v>500</v>
      </c>
      <c r="E18" s="333"/>
      <c r="G18" s="333"/>
      <c r="J18" s="333"/>
      <c r="N18" s="333"/>
      <c r="O18" s="333"/>
    </row>
    <row r="19" spans="1:15" x14ac:dyDescent="0.35">
      <c r="A19" s="331" t="s">
        <v>692</v>
      </c>
      <c r="B19" s="356">
        <v>50</v>
      </c>
      <c r="E19" s="333"/>
      <c r="G19" s="333"/>
      <c r="J19" s="333"/>
      <c r="N19" s="333"/>
      <c r="O19" s="333"/>
    </row>
    <row r="20" spans="1:15" x14ac:dyDescent="0.35">
      <c r="A20" s="331" t="s">
        <v>698</v>
      </c>
      <c r="B20" s="356">
        <v>570</v>
      </c>
      <c r="E20" s="334"/>
      <c r="G20" s="333"/>
      <c r="J20" s="333"/>
      <c r="N20" s="333"/>
      <c r="O20" s="333"/>
    </row>
    <row r="21" spans="1:15" x14ac:dyDescent="0.35">
      <c r="A21" s="331" t="s">
        <v>700</v>
      </c>
      <c r="B21" s="356">
        <v>1000</v>
      </c>
      <c r="E21" s="334"/>
      <c r="G21" s="333"/>
      <c r="J21" s="333"/>
      <c r="N21" s="333"/>
      <c r="O21" s="333"/>
    </row>
    <row r="22" spans="1:15" x14ac:dyDescent="0.35">
      <c r="A22" s="331" t="s">
        <v>701</v>
      </c>
      <c r="B22" s="356">
        <v>539</v>
      </c>
      <c r="E22" s="334"/>
      <c r="G22" s="333"/>
      <c r="J22" s="333"/>
      <c r="N22" s="333"/>
      <c r="O22" s="333"/>
    </row>
    <row r="23" spans="1:15" x14ac:dyDescent="0.35">
      <c r="A23" s="331" t="s">
        <v>1415</v>
      </c>
      <c r="B23" s="356">
        <v>1545</v>
      </c>
      <c r="E23" s="334"/>
      <c r="G23" s="333"/>
      <c r="J23" s="333"/>
      <c r="N23" s="333"/>
      <c r="O23" s="333"/>
    </row>
    <row r="24" spans="1:15" x14ac:dyDescent="0.35">
      <c r="A24" s="331" t="s">
        <v>702</v>
      </c>
      <c r="B24" s="356">
        <v>250</v>
      </c>
      <c r="E24" s="333"/>
      <c r="G24" s="333"/>
      <c r="J24" s="333"/>
      <c r="N24" s="333"/>
      <c r="O24" s="333"/>
    </row>
    <row r="25" spans="1:15" x14ac:dyDescent="0.35">
      <c r="A25" s="331" t="s">
        <v>704</v>
      </c>
      <c r="B25" s="356">
        <v>1441</v>
      </c>
      <c r="E25" s="333"/>
      <c r="G25" s="333"/>
      <c r="J25" s="333"/>
      <c r="N25" s="333"/>
      <c r="O25" s="333"/>
    </row>
    <row r="26" spans="1:15" x14ac:dyDescent="0.35">
      <c r="A26" s="331" t="s">
        <v>705</v>
      </c>
      <c r="B26" s="356">
        <v>532</v>
      </c>
      <c r="E26" s="333"/>
      <c r="G26" s="333"/>
      <c r="J26" s="333"/>
      <c r="N26" s="333"/>
      <c r="O26" s="333"/>
    </row>
    <row r="27" spans="1:15" x14ac:dyDescent="0.35">
      <c r="A27" s="331" t="s">
        <v>711</v>
      </c>
      <c r="B27" s="356">
        <v>2000</v>
      </c>
      <c r="E27" s="334"/>
      <c r="G27" s="333"/>
      <c r="J27" s="333"/>
      <c r="N27" s="333"/>
      <c r="O27" s="333"/>
    </row>
    <row r="28" spans="1:15" x14ac:dyDescent="0.35">
      <c r="A28" s="331" t="s">
        <v>712</v>
      </c>
      <c r="B28" s="356">
        <v>6352</v>
      </c>
      <c r="E28" s="334"/>
      <c r="G28" s="333"/>
      <c r="J28" s="333"/>
      <c r="N28" s="333"/>
      <c r="O28" s="333"/>
    </row>
    <row r="29" spans="1:15" x14ac:dyDescent="0.35">
      <c r="A29" s="331" t="s">
        <v>713</v>
      </c>
      <c r="B29" s="356">
        <v>6463</v>
      </c>
      <c r="E29" s="334"/>
      <c r="G29" s="333"/>
      <c r="J29" s="333"/>
      <c r="N29" s="333"/>
      <c r="O29" s="333"/>
    </row>
    <row r="30" spans="1:15" x14ac:dyDescent="0.35">
      <c r="A30" s="331" t="s">
        <v>721</v>
      </c>
      <c r="B30" s="356">
        <v>400</v>
      </c>
      <c r="E30" s="334"/>
      <c r="G30" s="333"/>
      <c r="J30" s="333"/>
      <c r="N30" s="333"/>
      <c r="O30" s="333"/>
    </row>
    <row r="31" spans="1:15" x14ac:dyDescent="0.35">
      <c r="A31" s="331" t="s">
        <v>723</v>
      </c>
      <c r="B31" s="356">
        <v>500</v>
      </c>
      <c r="E31" s="333"/>
      <c r="G31" s="333"/>
      <c r="J31" s="333"/>
      <c r="N31" s="333"/>
      <c r="O31" s="333"/>
    </row>
    <row r="32" spans="1:15" x14ac:dyDescent="0.35">
      <c r="A32" s="331" t="s">
        <v>724</v>
      </c>
      <c r="B32" s="356">
        <v>250</v>
      </c>
      <c r="E32" s="334"/>
      <c r="G32" s="333"/>
      <c r="J32" s="333"/>
      <c r="N32" s="333"/>
      <c r="O32" s="333"/>
    </row>
    <row r="33" spans="1:15" x14ac:dyDescent="0.35">
      <c r="A33" s="331" t="s">
        <v>1562</v>
      </c>
      <c r="B33" s="356">
        <v>3000</v>
      </c>
      <c r="E33" s="334"/>
      <c r="G33" s="334"/>
      <c r="J33" s="334"/>
      <c r="N33" s="334"/>
      <c r="O33" s="334"/>
    </row>
    <row r="34" spans="1:15" x14ac:dyDescent="0.35">
      <c r="A34" s="331" t="s">
        <v>736</v>
      </c>
      <c r="B34" s="356">
        <v>828</v>
      </c>
      <c r="E34" s="333"/>
      <c r="G34" s="333"/>
      <c r="J34" s="333"/>
      <c r="N34" s="333"/>
      <c r="O34" s="333"/>
    </row>
    <row r="35" spans="1:15" x14ac:dyDescent="0.35">
      <c r="A35" s="331" t="s">
        <v>737</v>
      </c>
      <c r="B35" s="356">
        <v>386</v>
      </c>
      <c r="E35" s="333"/>
      <c r="G35" s="333"/>
      <c r="J35" s="333"/>
      <c r="N35" s="333"/>
      <c r="O35" s="333"/>
    </row>
    <row r="36" spans="1:15" x14ac:dyDescent="0.35">
      <c r="A36" s="331" t="s">
        <v>738</v>
      </c>
      <c r="B36" s="356">
        <v>5132</v>
      </c>
      <c r="E36" s="334"/>
      <c r="G36" s="333"/>
      <c r="J36" s="333"/>
      <c r="N36" s="333"/>
      <c r="O36" s="333"/>
    </row>
    <row r="37" spans="1:15" x14ac:dyDescent="0.35">
      <c r="A37" s="331" t="s">
        <v>1564</v>
      </c>
      <c r="B37" s="356">
        <v>3000</v>
      </c>
      <c r="E37" s="334"/>
      <c r="G37" s="333"/>
      <c r="J37" s="333"/>
      <c r="N37" s="333"/>
      <c r="O37" s="333"/>
    </row>
    <row r="38" spans="1:15" x14ac:dyDescent="0.35">
      <c r="A38" s="331" t="s">
        <v>1437</v>
      </c>
      <c r="B38" s="356">
        <v>500</v>
      </c>
      <c r="E38" s="334"/>
      <c r="G38" s="333"/>
      <c r="J38" s="333"/>
      <c r="N38" s="333"/>
      <c r="O38" s="333"/>
    </row>
    <row r="39" spans="1:15" x14ac:dyDescent="0.35">
      <c r="A39" s="331" t="s">
        <v>745</v>
      </c>
      <c r="B39" s="356">
        <v>1569</v>
      </c>
      <c r="E39" s="333"/>
      <c r="G39" s="333"/>
      <c r="J39" s="333"/>
      <c r="N39" s="333"/>
      <c r="O39" s="333"/>
    </row>
    <row r="40" spans="1:15" x14ac:dyDescent="0.35">
      <c r="A40" s="331" t="s">
        <v>747</v>
      </c>
      <c r="B40" s="356">
        <v>1000</v>
      </c>
      <c r="E40" s="333"/>
      <c r="G40" s="333"/>
      <c r="J40" s="333"/>
      <c r="N40" s="333"/>
      <c r="O40" s="333"/>
    </row>
    <row r="41" spans="1:15" x14ac:dyDescent="0.35">
      <c r="A41" s="331" t="s">
        <v>1565</v>
      </c>
      <c r="B41" s="356">
        <v>200</v>
      </c>
      <c r="E41" s="333"/>
      <c r="G41" s="333"/>
      <c r="J41" s="333"/>
      <c r="N41" s="333"/>
      <c r="O41" s="333"/>
    </row>
    <row r="42" spans="1:15" x14ac:dyDescent="0.35">
      <c r="A42" s="331" t="s">
        <v>750</v>
      </c>
      <c r="B42" s="356">
        <v>1000</v>
      </c>
      <c r="E42" s="333"/>
      <c r="G42" s="333"/>
      <c r="J42" s="333"/>
      <c r="N42" s="333"/>
      <c r="O42" s="333"/>
    </row>
    <row r="43" spans="1:15" x14ac:dyDescent="0.35">
      <c r="A43" s="331" t="s">
        <v>1530</v>
      </c>
      <c r="B43" s="356">
        <v>2000</v>
      </c>
      <c r="E43" s="334"/>
      <c r="G43" s="333"/>
      <c r="J43" s="333"/>
      <c r="N43" s="333"/>
      <c r="O43" s="333"/>
    </row>
    <row r="44" spans="1:15" x14ac:dyDescent="0.35">
      <c r="A44" s="331" t="s">
        <v>1573</v>
      </c>
      <c r="B44" s="356">
        <v>500</v>
      </c>
      <c r="E44" s="333"/>
      <c r="G44" s="333"/>
      <c r="J44" s="333"/>
      <c r="N44" s="333"/>
      <c r="O44" s="333"/>
    </row>
    <row r="45" spans="1:15" x14ac:dyDescent="0.35">
      <c r="A45" s="331" t="s">
        <v>1534</v>
      </c>
      <c r="B45" s="356">
        <v>100</v>
      </c>
      <c r="E45" s="333"/>
      <c r="G45" s="333"/>
      <c r="J45" s="333"/>
      <c r="N45" s="333"/>
      <c r="O45" s="333"/>
    </row>
    <row r="46" spans="1:15" x14ac:dyDescent="0.35">
      <c r="A46" s="331" t="s">
        <v>784</v>
      </c>
      <c r="B46" s="356">
        <v>300</v>
      </c>
      <c r="E46" s="333"/>
      <c r="G46" s="333"/>
      <c r="J46" s="333"/>
      <c r="N46" s="333"/>
      <c r="O46" s="333"/>
    </row>
    <row r="47" spans="1:15" x14ac:dyDescent="0.35">
      <c r="A47" s="331" t="s">
        <v>653</v>
      </c>
      <c r="B47" s="356">
        <v>2742</v>
      </c>
      <c r="E47" s="334"/>
      <c r="G47" s="333"/>
      <c r="J47" s="333"/>
      <c r="N47" s="333"/>
      <c r="O47" s="333"/>
    </row>
    <row r="48" spans="1:15" x14ac:dyDescent="0.35">
      <c r="A48" s="331" t="s">
        <v>790</v>
      </c>
      <c r="B48" s="356">
        <v>1000</v>
      </c>
      <c r="E48" s="333"/>
      <c r="G48" s="333"/>
      <c r="J48" s="333"/>
      <c r="N48" s="333"/>
      <c r="O48" s="333"/>
    </row>
    <row r="49" spans="1:15" x14ac:dyDescent="0.35">
      <c r="A49" s="331" t="s">
        <v>795</v>
      </c>
      <c r="B49" s="356">
        <v>200</v>
      </c>
      <c r="E49" s="334"/>
      <c r="G49" s="333"/>
      <c r="J49" s="333"/>
      <c r="N49" s="333"/>
      <c r="O49" s="333"/>
    </row>
    <row r="50" spans="1:15" x14ac:dyDescent="0.35">
      <c r="A50" s="331" t="s">
        <v>796</v>
      </c>
      <c r="B50" s="356">
        <v>250</v>
      </c>
      <c r="E50" s="334"/>
      <c r="G50" s="333"/>
      <c r="J50" s="333"/>
      <c r="N50" s="333"/>
      <c r="O50" s="333"/>
    </row>
    <row r="51" spans="1:15" x14ac:dyDescent="0.35">
      <c r="A51" s="331" t="s">
        <v>803</v>
      </c>
      <c r="B51" s="356">
        <v>500</v>
      </c>
      <c r="E51" s="334"/>
      <c r="G51" s="333"/>
      <c r="J51" s="333"/>
      <c r="N51" s="333"/>
      <c r="O51" s="333"/>
    </row>
    <row r="52" spans="1:15" x14ac:dyDescent="0.35">
      <c r="A52" s="331" t="s">
        <v>804</v>
      </c>
      <c r="B52" s="356">
        <v>100</v>
      </c>
      <c r="E52" s="334"/>
      <c r="G52" s="333"/>
      <c r="J52" s="333"/>
      <c r="N52" s="333"/>
      <c r="O52" s="333"/>
    </row>
    <row r="53" spans="1:15" x14ac:dyDescent="0.35">
      <c r="A53" s="331" t="s">
        <v>805</v>
      </c>
      <c r="B53" s="356">
        <v>579</v>
      </c>
      <c r="E53" s="334"/>
      <c r="G53" s="333"/>
      <c r="J53" s="333"/>
      <c r="N53" s="333"/>
      <c r="O53" s="333"/>
    </row>
    <row r="54" spans="1:15" x14ac:dyDescent="0.35">
      <c r="A54" s="331" t="s">
        <v>827</v>
      </c>
      <c r="B54" s="356">
        <v>581</v>
      </c>
      <c r="E54" s="334"/>
      <c r="G54" s="333"/>
      <c r="J54" s="333"/>
      <c r="N54" s="333"/>
      <c r="O54" s="333"/>
    </row>
    <row r="55" spans="1:15" x14ac:dyDescent="0.35">
      <c r="A55" s="331" t="s">
        <v>832</v>
      </c>
      <c r="B55" s="356">
        <v>817</v>
      </c>
      <c r="E55" s="334"/>
      <c r="G55" s="333"/>
      <c r="J55" s="333"/>
      <c r="N55" s="333"/>
      <c r="O55" s="333"/>
    </row>
    <row r="56" spans="1:15" x14ac:dyDescent="0.35">
      <c r="A56" s="331" t="s">
        <v>1515</v>
      </c>
      <c r="B56" s="356">
        <v>2000</v>
      </c>
      <c r="E56" s="334"/>
      <c r="G56" s="333"/>
      <c r="J56" s="333"/>
      <c r="N56" s="333"/>
      <c r="O56" s="333"/>
    </row>
    <row r="57" spans="1:15" x14ac:dyDescent="0.35">
      <c r="A57" s="331" t="s">
        <v>1463</v>
      </c>
      <c r="B57" s="356">
        <v>710</v>
      </c>
      <c r="E57" s="333"/>
      <c r="G57" s="333"/>
      <c r="J57" s="333"/>
      <c r="N57" s="333"/>
      <c r="O57" s="333"/>
    </row>
    <row r="59" spans="1:15" x14ac:dyDescent="0.35">
      <c r="B59" s="356">
        <f>SUM(B2:B57)</f>
        <v>79395</v>
      </c>
    </row>
  </sheetData>
  <sortState xmlns:xlrd2="http://schemas.microsoft.com/office/spreadsheetml/2017/richdata2" ref="A2:B57">
    <sortCondition ref="A2:A5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53"/>
  <sheetViews>
    <sheetView topLeftCell="B39" zoomScaleNormal="100" workbookViewId="0">
      <selection activeCell="F53" sqref="F53"/>
    </sheetView>
  </sheetViews>
  <sheetFormatPr defaultRowHeight="14" x14ac:dyDescent="0.3"/>
  <cols>
    <col min="1" max="1" width="9" style="24"/>
    <col min="2" max="2" width="10.83203125" style="24" bestFit="1" customWidth="1"/>
    <col min="3" max="3" width="38.33203125" customWidth="1"/>
    <col min="4" max="5" width="12" bestFit="1" customWidth="1"/>
    <col min="6" max="6" width="12.5" bestFit="1" customWidth="1"/>
    <col min="7" max="7" width="12.5" style="8" bestFit="1" customWidth="1"/>
    <col min="8" max="8" width="16.33203125" style="8" hidden="1" customWidth="1"/>
    <col min="9" max="9" width="9" hidden="1" customWidth="1"/>
    <col min="10" max="10" width="6.5" hidden="1" customWidth="1"/>
    <col min="11" max="11" width="19" hidden="1" customWidth="1"/>
    <col min="12" max="12" width="2.83203125" hidden="1" customWidth="1"/>
    <col min="13" max="13" width="9" hidden="1" customWidth="1"/>
    <col min="14" max="14" width="2.25" hidden="1" customWidth="1"/>
    <col min="15" max="15" width="16.75" hidden="1" customWidth="1"/>
    <col min="16" max="16" width="15.5" hidden="1" customWidth="1"/>
    <col min="17" max="17" width="13.83203125" hidden="1" customWidth="1"/>
  </cols>
  <sheetData>
    <row r="1" spans="2:17" s="24" customFormat="1" ht="14.5" thickBot="1" x14ac:dyDescent="0.35">
      <c r="G1" s="8"/>
      <c r="H1" s="8"/>
    </row>
    <row r="2" spans="2:17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H2" s="6"/>
      <c r="N2" s="2" t="s">
        <v>565</v>
      </c>
    </row>
    <row r="3" spans="2:17" ht="14.5" thickBot="1" x14ac:dyDescent="0.35">
      <c r="B3" s="118"/>
      <c r="C3" s="91"/>
      <c r="D3" s="91"/>
      <c r="E3" s="91"/>
      <c r="F3" s="91"/>
      <c r="G3" s="119"/>
      <c r="J3" t="s">
        <v>554</v>
      </c>
      <c r="K3" s="24" t="s">
        <v>555</v>
      </c>
      <c r="L3" s="13">
        <f>COUNTIF(H8:H46,"&gt;1")</f>
        <v>0</v>
      </c>
    </row>
    <row r="4" spans="2:17" s="3" customFormat="1" ht="18" thickBot="1" x14ac:dyDescent="0.4">
      <c r="B4" s="120"/>
      <c r="C4" s="102" t="s">
        <v>59</v>
      </c>
      <c r="D4" s="642">
        <f>Period</f>
        <v>44043</v>
      </c>
      <c r="E4" s="642"/>
      <c r="F4" s="42"/>
      <c r="G4" s="121"/>
      <c r="H4" s="7"/>
      <c r="J4"/>
      <c r="K4" s="24" t="s">
        <v>553</v>
      </c>
      <c r="L4" s="13">
        <f>COUNTIF(H8:H46,1)</f>
        <v>0</v>
      </c>
    </row>
    <row r="5" spans="2:17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COUNTIFS(H8:H46,"&gt;="&amp;Target,H8:H46,"&lt;"&amp;1)</f>
        <v>1</v>
      </c>
    </row>
    <row r="6" spans="2:17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7" t="s">
        <v>562</v>
      </c>
      <c r="J6"/>
      <c r="K6" s="24" t="s">
        <v>1552</v>
      </c>
      <c r="L6" s="13">
        <v>4</v>
      </c>
      <c r="O6" s="3" t="s">
        <v>1374</v>
      </c>
      <c r="P6" s="3" t="s">
        <v>1375</v>
      </c>
      <c r="Q6" s="3" t="s">
        <v>1376</v>
      </c>
    </row>
    <row r="7" spans="2:17" x14ac:dyDescent="0.3">
      <c r="B7" s="128"/>
      <c r="C7" s="105"/>
      <c r="D7" s="103"/>
      <c r="E7" s="103"/>
      <c r="F7" s="103"/>
      <c r="G7" s="122"/>
      <c r="J7" s="3"/>
      <c r="K7" s="24" t="s">
        <v>557</v>
      </c>
      <c r="L7" s="13">
        <v>0</v>
      </c>
    </row>
    <row r="8" spans="2:17" x14ac:dyDescent="0.3">
      <c r="B8" s="238" t="s">
        <v>876</v>
      </c>
      <c r="C8" s="278" t="s">
        <v>60</v>
      </c>
      <c r="D8" s="114">
        <f>[4]Clare!E8</f>
        <v>61253</v>
      </c>
      <c r="E8" s="114">
        <f>[5]Clare!D8</f>
        <v>3000</v>
      </c>
      <c r="F8" s="114">
        <f t="shared" ref="F8:F9" si="0">D8-E8</f>
        <v>58253</v>
      </c>
      <c r="G8" s="320">
        <f t="shared" ref="G8:G9" si="1">ROUND((E8/D8),4)</f>
        <v>4.9000000000000002E-2</v>
      </c>
      <c r="K8" s="13"/>
      <c r="L8" s="13">
        <f>SUM(L3:L7)</f>
        <v>5</v>
      </c>
      <c r="O8" t="s">
        <v>1381</v>
      </c>
      <c r="P8" t="s">
        <v>1378</v>
      </c>
    </row>
    <row r="9" spans="2:17" x14ac:dyDescent="0.3">
      <c r="B9" s="238" t="s">
        <v>877</v>
      </c>
      <c r="C9" s="233" t="s">
        <v>61</v>
      </c>
      <c r="D9" s="114">
        <f>[4]Clare!E9</f>
        <v>5000</v>
      </c>
      <c r="E9" s="114">
        <f>[5]Clare!D9</f>
        <v>1000</v>
      </c>
      <c r="F9" s="114">
        <f t="shared" si="0"/>
        <v>4000</v>
      </c>
      <c r="G9" s="243">
        <f t="shared" si="1"/>
        <v>0.2</v>
      </c>
      <c r="K9" s="24"/>
      <c r="L9" s="24"/>
      <c r="O9" t="s">
        <v>1377</v>
      </c>
      <c r="P9" t="s">
        <v>1378</v>
      </c>
    </row>
    <row r="10" spans="2:17" s="24" customFormat="1" x14ac:dyDescent="0.3">
      <c r="B10" s="275"/>
      <c r="C10" s="107" t="s">
        <v>618</v>
      </c>
      <c r="D10" s="277">
        <f>[4]Clare!$E$51</f>
        <v>-31084</v>
      </c>
      <c r="E10" s="276"/>
      <c r="F10" s="277">
        <v>-31084</v>
      </c>
      <c r="G10" s="234"/>
      <c r="H10" s="8"/>
      <c r="K10" s="13"/>
      <c r="L10" s="13"/>
    </row>
    <row r="11" spans="2:17" s="3" customFormat="1" ht="14.5" thickBot="1" x14ac:dyDescent="0.35">
      <c r="B11" s="222" t="s">
        <v>878</v>
      </c>
      <c r="C11" s="223" t="s">
        <v>71</v>
      </c>
      <c r="D11" s="109">
        <f>SUM(D8:D10)</f>
        <v>35169</v>
      </c>
      <c r="E11" s="109">
        <f>SUM(E8:E10)</f>
        <v>4000</v>
      </c>
      <c r="F11" s="109">
        <f>SUM(F8:F10)</f>
        <v>31169</v>
      </c>
      <c r="G11" s="224">
        <f>ROUND((E11/D11),4)</f>
        <v>0.1137</v>
      </c>
      <c r="H11" s="7">
        <f t="shared" ref="H11" si="2">G11</f>
        <v>0.1137</v>
      </c>
      <c r="J11"/>
      <c r="K11" s="24"/>
    </row>
    <row r="12" spans="2:17" x14ac:dyDescent="0.3">
      <c r="B12" s="268"/>
      <c r="C12" s="288"/>
      <c r="D12" s="270"/>
      <c r="E12" s="289"/>
      <c r="F12" s="289"/>
      <c r="G12" s="290"/>
      <c r="H12" s="7"/>
    </row>
    <row r="13" spans="2:17" s="4" customFormat="1" x14ac:dyDescent="0.3">
      <c r="B13" s="238" t="s">
        <v>879</v>
      </c>
      <c r="C13" s="278" t="s">
        <v>62</v>
      </c>
      <c r="D13" s="114">
        <f>[4]Clare!E12</f>
        <v>1700</v>
      </c>
      <c r="E13" s="114">
        <f>[5]Clare!D13</f>
        <v>600</v>
      </c>
      <c r="F13" s="114">
        <f t="shared" ref="F13:F48" si="3">D13-E13</f>
        <v>1100</v>
      </c>
      <c r="G13" s="320">
        <f t="shared" ref="G13:G48" si="4">ROUND((E13/D13),4)</f>
        <v>0.35289999999999999</v>
      </c>
      <c r="H13" s="9"/>
    </row>
    <row r="14" spans="2:17" x14ac:dyDescent="0.3">
      <c r="B14" s="238" t="s">
        <v>880</v>
      </c>
      <c r="C14" s="278" t="s">
        <v>63</v>
      </c>
      <c r="D14" s="114">
        <f>[4]Clare!E13</f>
        <v>3800</v>
      </c>
      <c r="E14" s="114">
        <f>[5]Clare!D14</f>
        <v>0</v>
      </c>
      <c r="F14" s="114">
        <f t="shared" si="3"/>
        <v>3800</v>
      </c>
      <c r="G14" s="320">
        <f t="shared" si="4"/>
        <v>0</v>
      </c>
      <c r="H14" s="9"/>
      <c r="O14" t="s">
        <v>1377</v>
      </c>
      <c r="P14" t="s">
        <v>1378</v>
      </c>
    </row>
    <row r="15" spans="2:17" x14ac:dyDescent="0.3">
      <c r="B15" s="238" t="s">
        <v>881</v>
      </c>
      <c r="C15" s="278" t="s">
        <v>64</v>
      </c>
      <c r="D15" s="114">
        <f>[4]Clare!E14</f>
        <v>5400</v>
      </c>
      <c r="E15" s="114">
        <f>[5]Clare!D15</f>
        <v>3500</v>
      </c>
      <c r="F15" s="114">
        <f t="shared" si="3"/>
        <v>1900</v>
      </c>
      <c r="G15" s="320">
        <f t="shared" si="4"/>
        <v>0.64810000000000001</v>
      </c>
      <c r="H15" s="9"/>
      <c r="O15" t="s">
        <v>1381</v>
      </c>
      <c r="P15" t="s">
        <v>1378</v>
      </c>
      <c r="Q15" t="s">
        <v>1379</v>
      </c>
    </row>
    <row r="16" spans="2:17" x14ac:dyDescent="0.3">
      <c r="B16" s="238" t="s">
        <v>882</v>
      </c>
      <c r="C16" s="278" t="s">
        <v>65</v>
      </c>
      <c r="D16" s="114">
        <f>[4]Clare!E15</f>
        <v>6200</v>
      </c>
      <c r="E16" s="114">
        <f>[5]Clare!D16</f>
        <v>0</v>
      </c>
      <c r="F16" s="114">
        <f t="shared" si="3"/>
        <v>6200</v>
      </c>
      <c r="G16" s="320">
        <f t="shared" si="4"/>
        <v>0</v>
      </c>
      <c r="H16" s="9"/>
      <c r="O16" t="s">
        <v>1377</v>
      </c>
      <c r="P16" t="s">
        <v>1378</v>
      </c>
      <c r="Q16" t="s">
        <v>1380</v>
      </c>
    </row>
    <row r="17" spans="2:17" x14ac:dyDescent="0.3">
      <c r="B17" s="238" t="s">
        <v>883</v>
      </c>
      <c r="C17" s="278" t="s">
        <v>66</v>
      </c>
      <c r="D17" s="114">
        <f>[4]Clare!E16</f>
        <v>20000</v>
      </c>
      <c r="E17" s="114">
        <f>[5]Clare!D17</f>
        <v>10000</v>
      </c>
      <c r="F17" s="114">
        <f t="shared" si="3"/>
        <v>10000</v>
      </c>
      <c r="G17" s="320">
        <f t="shared" si="4"/>
        <v>0.5</v>
      </c>
      <c r="H17" s="9"/>
      <c r="O17" t="s">
        <v>1377</v>
      </c>
      <c r="P17" t="s">
        <v>1378</v>
      </c>
      <c r="Q17" t="s">
        <v>1379</v>
      </c>
    </row>
    <row r="18" spans="2:17" s="4" customFormat="1" x14ac:dyDescent="0.3">
      <c r="B18" s="238" t="s">
        <v>884</v>
      </c>
      <c r="C18" s="278" t="s">
        <v>67</v>
      </c>
      <c r="D18" s="114">
        <f>[4]Clare!E17</f>
        <v>2400</v>
      </c>
      <c r="E18" s="114">
        <f>[5]Clare!D18</f>
        <v>1000</v>
      </c>
      <c r="F18" s="114">
        <f t="shared" si="3"/>
        <v>1400</v>
      </c>
      <c r="G18" s="320">
        <f t="shared" si="4"/>
        <v>0.41670000000000001</v>
      </c>
      <c r="H18" s="9"/>
      <c r="O18" s="4" t="s">
        <v>1377</v>
      </c>
      <c r="P18" s="4" t="s">
        <v>1378</v>
      </c>
      <c r="Q18" s="4" t="s">
        <v>1383</v>
      </c>
    </row>
    <row r="19" spans="2:17" x14ac:dyDescent="0.3">
      <c r="B19" s="238" t="s">
        <v>885</v>
      </c>
      <c r="C19" s="278" t="s">
        <v>68</v>
      </c>
      <c r="D19" s="114">
        <f>[4]Clare!E18</f>
        <v>3800</v>
      </c>
      <c r="E19" s="114">
        <f>[5]Clare!D19</f>
        <v>0</v>
      </c>
      <c r="F19" s="114">
        <f t="shared" si="3"/>
        <v>3800</v>
      </c>
      <c r="G19" s="320">
        <f t="shared" si="4"/>
        <v>0</v>
      </c>
      <c r="H19" s="9"/>
      <c r="O19" s="4" t="s">
        <v>1377</v>
      </c>
      <c r="P19" s="4" t="s">
        <v>1378</v>
      </c>
    </row>
    <row r="20" spans="2:17" s="24" customFormat="1" x14ac:dyDescent="0.3">
      <c r="B20" s="238" t="s">
        <v>886</v>
      </c>
      <c r="C20" s="278" t="s">
        <v>69</v>
      </c>
      <c r="D20" s="114">
        <f>[4]Clare!E19</f>
        <v>1700</v>
      </c>
      <c r="E20" s="114">
        <f>[5]Clare!D20</f>
        <v>0</v>
      </c>
      <c r="F20" s="114">
        <f t="shared" si="3"/>
        <v>1700</v>
      </c>
      <c r="G20" s="320">
        <f t="shared" si="4"/>
        <v>0</v>
      </c>
      <c r="H20" s="9"/>
      <c r="O20" s="4" t="s">
        <v>1377</v>
      </c>
      <c r="P20" s="4" t="s">
        <v>1378</v>
      </c>
    </row>
    <row r="21" spans="2:17" s="24" customFormat="1" x14ac:dyDescent="0.3">
      <c r="B21" s="230" t="s">
        <v>887</v>
      </c>
      <c r="C21" s="283" t="s">
        <v>1394</v>
      </c>
      <c r="D21" s="114">
        <f>[4]Clare!E20</f>
        <v>11120</v>
      </c>
      <c r="E21" s="114">
        <f>[5]Clare!D21</f>
        <v>0</v>
      </c>
      <c r="F21" s="114">
        <f t="shared" si="3"/>
        <v>11120</v>
      </c>
      <c r="G21" s="234">
        <f t="shared" si="4"/>
        <v>0</v>
      </c>
      <c r="H21" s="9"/>
      <c r="O21" s="4"/>
      <c r="P21" s="4"/>
    </row>
    <row r="22" spans="2:17" s="24" customFormat="1" ht="14.5" thickBot="1" x14ac:dyDescent="0.35">
      <c r="B22" s="222" t="s">
        <v>887</v>
      </c>
      <c r="C22" s="223" t="s">
        <v>70</v>
      </c>
      <c r="D22" s="109">
        <f>SUM(D13:D21)</f>
        <v>56120</v>
      </c>
      <c r="E22" s="109">
        <f>SUM(E13:E21)</f>
        <v>15100</v>
      </c>
      <c r="F22" s="109">
        <f t="shared" si="3"/>
        <v>41020</v>
      </c>
      <c r="G22" s="224">
        <f t="shared" si="4"/>
        <v>0.26910000000000001</v>
      </c>
      <c r="H22" s="7">
        <f t="shared" ref="H22" si="5">G22</f>
        <v>0.26910000000000001</v>
      </c>
      <c r="O22" s="4"/>
      <c r="P22" s="4"/>
    </row>
    <row r="23" spans="2:17" x14ac:dyDescent="0.3">
      <c r="B23" s="268"/>
      <c r="C23" s="288"/>
      <c r="D23" s="270"/>
      <c r="E23" s="289"/>
      <c r="F23" s="289"/>
      <c r="G23" s="290"/>
      <c r="H23" s="9"/>
    </row>
    <row r="24" spans="2:17" x14ac:dyDescent="0.3">
      <c r="B24" s="238" t="s">
        <v>888</v>
      </c>
      <c r="C24" s="278" t="s">
        <v>72</v>
      </c>
      <c r="D24" s="114">
        <f>[4]Clare!E23</f>
        <v>5625</v>
      </c>
      <c r="E24" s="114">
        <f>[5]Clare!D24</f>
        <v>2000</v>
      </c>
      <c r="F24" s="114">
        <f t="shared" si="3"/>
        <v>3625</v>
      </c>
      <c r="G24" s="320">
        <f t="shared" si="4"/>
        <v>0.35560000000000003</v>
      </c>
      <c r="H24" s="9"/>
      <c r="O24" t="s">
        <v>1377</v>
      </c>
      <c r="P24" t="s">
        <v>1378</v>
      </c>
    </row>
    <row r="25" spans="2:17" x14ac:dyDescent="0.3">
      <c r="B25" s="238" t="s">
        <v>889</v>
      </c>
      <c r="C25" s="278" t="s">
        <v>73</v>
      </c>
      <c r="D25" s="114">
        <f>[4]Clare!E24</f>
        <v>5625</v>
      </c>
      <c r="E25" s="114">
        <f>[5]Clare!D25</f>
        <v>0</v>
      </c>
      <c r="F25" s="114">
        <f t="shared" si="3"/>
        <v>5625</v>
      </c>
      <c r="G25" s="320">
        <f t="shared" si="4"/>
        <v>0</v>
      </c>
      <c r="H25" s="9"/>
    </row>
    <row r="26" spans="2:17" x14ac:dyDescent="0.3">
      <c r="B26" s="238" t="s">
        <v>890</v>
      </c>
      <c r="C26" s="278" t="s">
        <v>74</v>
      </c>
      <c r="D26" s="114">
        <f>[4]Clare!E25</f>
        <v>5250</v>
      </c>
      <c r="E26" s="114">
        <f>[5]Clare!D26</f>
        <v>1200</v>
      </c>
      <c r="F26" s="114">
        <f t="shared" si="3"/>
        <v>4050</v>
      </c>
      <c r="G26" s="320">
        <f t="shared" si="4"/>
        <v>0.2286</v>
      </c>
      <c r="H26" s="9"/>
    </row>
    <row r="27" spans="2:17" x14ac:dyDescent="0.3">
      <c r="B27" s="238" t="s">
        <v>891</v>
      </c>
      <c r="C27" s="278" t="s">
        <v>75</v>
      </c>
      <c r="D27" s="114">
        <f>[4]Clare!E26</f>
        <v>7500</v>
      </c>
      <c r="E27" s="114">
        <f>[5]Clare!D27</f>
        <v>4000</v>
      </c>
      <c r="F27" s="114">
        <f t="shared" si="3"/>
        <v>3500</v>
      </c>
      <c r="G27" s="320">
        <f t="shared" si="4"/>
        <v>0.5333</v>
      </c>
      <c r="H27" s="9"/>
      <c r="O27" t="s">
        <v>1377</v>
      </c>
      <c r="P27" t="s">
        <v>1378</v>
      </c>
    </row>
    <row r="28" spans="2:17" x14ac:dyDescent="0.3">
      <c r="B28" s="238" t="s">
        <v>892</v>
      </c>
      <c r="C28" s="278" t="s">
        <v>76</v>
      </c>
      <c r="D28" s="114">
        <f>[4]Clare!E27</f>
        <v>5250</v>
      </c>
      <c r="E28" s="114">
        <f>[5]Clare!D28</f>
        <v>4500</v>
      </c>
      <c r="F28" s="114">
        <f t="shared" si="3"/>
        <v>750</v>
      </c>
      <c r="G28" s="320">
        <f t="shared" si="4"/>
        <v>0.85709999999999997</v>
      </c>
      <c r="H28" s="9"/>
      <c r="O28" t="s">
        <v>1377</v>
      </c>
      <c r="P28" t="s">
        <v>1378</v>
      </c>
      <c r="Q28" t="s">
        <v>1383</v>
      </c>
    </row>
    <row r="29" spans="2:17" s="4" customFormat="1" x14ac:dyDescent="0.3">
      <c r="B29" s="238" t="s">
        <v>893</v>
      </c>
      <c r="C29" s="278" t="s">
        <v>77</v>
      </c>
      <c r="D29" s="114">
        <f>[4]Clare!E28</f>
        <v>4125</v>
      </c>
      <c r="E29" s="114">
        <f>[5]Clare!D29</f>
        <v>1200</v>
      </c>
      <c r="F29" s="114">
        <f t="shared" si="3"/>
        <v>2925</v>
      </c>
      <c r="G29" s="234">
        <f t="shared" si="4"/>
        <v>0.29089999999999999</v>
      </c>
      <c r="H29" s="9"/>
      <c r="O29" s="4" t="s">
        <v>1377</v>
      </c>
      <c r="P29" s="4" t="s">
        <v>1378</v>
      </c>
    </row>
    <row r="30" spans="2:17" x14ac:dyDescent="0.3">
      <c r="B30" s="238" t="s">
        <v>894</v>
      </c>
      <c r="C30" s="278" t="s">
        <v>78</v>
      </c>
      <c r="D30" s="114">
        <f>[4]Clare!E29</f>
        <v>8625</v>
      </c>
      <c r="E30" s="114">
        <f>[5]Clare!D30</f>
        <v>2400</v>
      </c>
      <c r="F30" s="114">
        <f t="shared" si="3"/>
        <v>6225</v>
      </c>
      <c r="G30" s="234">
        <f t="shared" si="4"/>
        <v>0.27829999999999999</v>
      </c>
      <c r="H30" s="9"/>
      <c r="O30" t="s">
        <v>1381</v>
      </c>
      <c r="P30" t="s">
        <v>1382</v>
      </c>
      <c r="Q30" t="s">
        <v>1379</v>
      </c>
    </row>
    <row r="31" spans="2:17" s="24" customFormat="1" x14ac:dyDescent="0.3">
      <c r="B31" s="238"/>
      <c r="C31" s="18" t="s">
        <v>1631</v>
      </c>
      <c r="D31" s="114">
        <f>[4]Clare!$E$30</f>
        <v>13364</v>
      </c>
      <c r="E31" s="114"/>
      <c r="F31" s="114">
        <f t="shared" si="3"/>
        <v>13364</v>
      </c>
      <c r="G31" s="234">
        <f t="shared" si="4"/>
        <v>0</v>
      </c>
      <c r="H31" s="9"/>
    </row>
    <row r="32" spans="2:17" s="3" customFormat="1" ht="14.5" thickBot="1" x14ac:dyDescent="0.35">
      <c r="B32" s="222" t="s">
        <v>895</v>
      </c>
      <c r="C32" s="223" t="s">
        <v>79</v>
      </c>
      <c r="D32" s="109">
        <f>SUM(D24:D31)</f>
        <v>55364</v>
      </c>
      <c r="E32" s="109">
        <f>SUM(E24:E31)</f>
        <v>15300</v>
      </c>
      <c r="F32" s="109">
        <f t="shared" si="3"/>
        <v>40064</v>
      </c>
      <c r="G32" s="224">
        <f t="shared" si="4"/>
        <v>0.27639999999999998</v>
      </c>
      <c r="H32" s="7">
        <f t="shared" ref="H32:H46" si="6">G32</f>
        <v>0.27639999999999998</v>
      </c>
    </row>
    <row r="33" spans="2:17" x14ac:dyDescent="0.3">
      <c r="B33" s="268"/>
      <c r="C33" s="288"/>
      <c r="D33" s="270"/>
      <c r="E33" s="289"/>
      <c r="F33" s="289"/>
      <c r="G33" s="290"/>
      <c r="H33" s="9"/>
    </row>
    <row r="34" spans="2:17" s="4" customFormat="1" x14ac:dyDescent="0.3">
      <c r="B34" s="238" t="s">
        <v>896</v>
      </c>
      <c r="C34" s="233" t="s">
        <v>80</v>
      </c>
      <c r="D34" s="114">
        <f>[4]Clare!E33</f>
        <v>4620</v>
      </c>
      <c r="E34" s="114">
        <f>[5]Clare!D33</f>
        <v>1500</v>
      </c>
      <c r="F34" s="114">
        <f t="shared" si="3"/>
        <v>3120</v>
      </c>
      <c r="G34" s="243">
        <f t="shared" si="4"/>
        <v>0.32469999999999999</v>
      </c>
      <c r="H34" s="9"/>
      <c r="O34" s="4" t="s">
        <v>1377</v>
      </c>
      <c r="P34" s="4" t="s">
        <v>1378</v>
      </c>
    </row>
    <row r="35" spans="2:17" x14ac:dyDescent="0.3">
      <c r="B35" s="238" t="s">
        <v>897</v>
      </c>
      <c r="C35" s="278" t="s">
        <v>81</v>
      </c>
      <c r="D35" s="114">
        <f>[4]Clare!E34</f>
        <v>15708</v>
      </c>
      <c r="E35" s="114">
        <f>[5]Clare!D34</f>
        <v>9163</v>
      </c>
      <c r="F35" s="114">
        <f t="shared" si="3"/>
        <v>6545</v>
      </c>
      <c r="G35" s="320">
        <f t="shared" si="4"/>
        <v>0.58330000000000004</v>
      </c>
      <c r="H35" s="9"/>
      <c r="O35" t="s">
        <v>1381</v>
      </c>
      <c r="P35" t="s">
        <v>1382</v>
      </c>
      <c r="Q35" t="s">
        <v>1379</v>
      </c>
    </row>
    <row r="36" spans="2:17" x14ac:dyDescent="0.3">
      <c r="B36" s="238" t="s">
        <v>898</v>
      </c>
      <c r="C36" s="278" t="s">
        <v>82</v>
      </c>
      <c r="D36" s="114">
        <f>[4]Clare!E35</f>
        <v>4620</v>
      </c>
      <c r="E36" s="114">
        <f>[5]Clare!D35</f>
        <v>3620</v>
      </c>
      <c r="F36" s="114">
        <f t="shared" si="3"/>
        <v>1000</v>
      </c>
      <c r="G36" s="320">
        <f t="shared" si="4"/>
        <v>0.78349999999999997</v>
      </c>
      <c r="H36" s="9"/>
      <c r="O36" t="s">
        <v>1377</v>
      </c>
      <c r="P36" t="s">
        <v>1378</v>
      </c>
      <c r="Q36" t="s">
        <v>1380</v>
      </c>
    </row>
    <row r="37" spans="2:17" x14ac:dyDescent="0.3">
      <c r="B37" s="238" t="s">
        <v>899</v>
      </c>
      <c r="C37" s="278" t="s">
        <v>83</v>
      </c>
      <c r="D37" s="114">
        <f>[4]Clare!E36</f>
        <v>5422</v>
      </c>
      <c r="E37" s="114">
        <f>[5]Clare!D36</f>
        <v>4500</v>
      </c>
      <c r="F37" s="114">
        <f t="shared" si="3"/>
        <v>922</v>
      </c>
      <c r="G37" s="320">
        <f t="shared" si="4"/>
        <v>0.83</v>
      </c>
      <c r="H37" s="9"/>
      <c r="O37" t="s">
        <v>1381</v>
      </c>
      <c r="Q37" t="s">
        <v>1380</v>
      </c>
    </row>
    <row r="38" spans="2:17" x14ac:dyDescent="0.3">
      <c r="B38" s="238" t="s">
        <v>900</v>
      </c>
      <c r="C38" s="278" t="s">
        <v>84</v>
      </c>
      <c r="D38" s="114">
        <f>[4]Clare!E37</f>
        <v>7668</v>
      </c>
      <c r="E38" s="114">
        <f>[5]Clare!D37</f>
        <v>4473</v>
      </c>
      <c r="F38" s="114">
        <f t="shared" si="3"/>
        <v>3195</v>
      </c>
      <c r="G38" s="320">
        <f t="shared" si="4"/>
        <v>0.58330000000000004</v>
      </c>
      <c r="H38" s="9"/>
      <c r="O38" t="s">
        <v>1381</v>
      </c>
      <c r="P38" t="s">
        <v>1382</v>
      </c>
      <c r="Q38" t="s">
        <v>1379</v>
      </c>
    </row>
    <row r="39" spans="2:17" x14ac:dyDescent="0.3">
      <c r="B39" s="230" t="s">
        <v>901</v>
      </c>
      <c r="C39" s="608" t="s">
        <v>85</v>
      </c>
      <c r="D39" s="114">
        <f>[4]Clare!E38</f>
        <v>4321</v>
      </c>
      <c r="E39" s="114">
        <f>[5]Clare!D38</f>
        <v>3321</v>
      </c>
      <c r="F39" s="145">
        <f t="shared" si="3"/>
        <v>1000</v>
      </c>
      <c r="G39" s="317">
        <f t="shared" si="4"/>
        <v>0.76859999999999995</v>
      </c>
      <c r="H39" s="9"/>
      <c r="O39" t="s">
        <v>1377</v>
      </c>
      <c r="P39" t="s">
        <v>1378</v>
      </c>
      <c r="Q39" t="s">
        <v>1385</v>
      </c>
    </row>
    <row r="40" spans="2:17" s="3" customFormat="1" ht="14.5" thickBot="1" x14ac:dyDescent="0.35">
      <c r="B40" s="222" t="s">
        <v>902</v>
      </c>
      <c r="C40" s="223" t="s">
        <v>86</v>
      </c>
      <c r="D40" s="109">
        <f>SUM(D34:D39)</f>
        <v>42359</v>
      </c>
      <c r="E40" s="109">
        <f>SUM(E34:E39)</f>
        <v>26577</v>
      </c>
      <c r="F40" s="109">
        <f t="shared" si="3"/>
        <v>15782</v>
      </c>
      <c r="G40" s="224">
        <f t="shared" si="4"/>
        <v>0.62739999999999996</v>
      </c>
      <c r="H40" s="7">
        <f t="shared" si="6"/>
        <v>0.62739999999999996</v>
      </c>
    </row>
    <row r="41" spans="2:17" s="4" customFormat="1" x14ac:dyDescent="0.3">
      <c r="B41" s="238" t="s">
        <v>903</v>
      </c>
      <c r="C41" s="278" t="s">
        <v>87</v>
      </c>
      <c r="D41" s="114">
        <f>[4]Clare!E41</f>
        <v>19047</v>
      </c>
      <c r="E41" s="114">
        <f>[5]Clare!D40</f>
        <v>9524</v>
      </c>
      <c r="F41" s="114">
        <f t="shared" si="3"/>
        <v>9523</v>
      </c>
      <c r="G41" s="320">
        <f t="shared" si="4"/>
        <v>0.5</v>
      </c>
      <c r="H41" s="9"/>
      <c r="O41" s="4" t="s">
        <v>1377</v>
      </c>
      <c r="P41" s="4" t="s">
        <v>1378</v>
      </c>
      <c r="Q41" s="4" t="s">
        <v>1383</v>
      </c>
    </row>
    <row r="42" spans="2:17" s="4" customFormat="1" x14ac:dyDescent="0.3">
      <c r="B42" s="238" t="s">
        <v>904</v>
      </c>
      <c r="C42" s="278" t="s">
        <v>88</v>
      </c>
      <c r="D42" s="114">
        <f>[4]Clare!E42</f>
        <v>32207</v>
      </c>
      <c r="E42" s="114">
        <f>[5]Clare!D41</f>
        <v>5000</v>
      </c>
      <c r="F42" s="114">
        <f t="shared" si="3"/>
        <v>27207</v>
      </c>
      <c r="G42" s="320">
        <f t="shared" si="4"/>
        <v>0.1552</v>
      </c>
      <c r="H42" s="9"/>
      <c r="O42" s="4" t="s">
        <v>1384</v>
      </c>
      <c r="P42" s="4" t="s">
        <v>1382</v>
      </c>
      <c r="Q42" s="4" t="s">
        <v>1379</v>
      </c>
    </row>
    <row r="43" spans="2:17" s="4" customFormat="1" x14ac:dyDescent="0.3">
      <c r="B43" s="238" t="s">
        <v>905</v>
      </c>
      <c r="C43" s="278" t="s">
        <v>89</v>
      </c>
      <c r="D43" s="114">
        <f>[4]Clare!E43</f>
        <v>6234</v>
      </c>
      <c r="E43" s="114">
        <f>[5]Clare!D42</f>
        <v>3400</v>
      </c>
      <c r="F43" s="114">
        <f t="shared" si="3"/>
        <v>2834</v>
      </c>
      <c r="G43" s="320">
        <f t="shared" si="4"/>
        <v>0.5454</v>
      </c>
      <c r="H43" s="9"/>
      <c r="O43" s="4" t="s">
        <v>1384</v>
      </c>
      <c r="P43" s="4" t="s">
        <v>1382</v>
      </c>
      <c r="Q43" s="4" t="s">
        <v>1379</v>
      </c>
    </row>
    <row r="44" spans="2:17" s="4" customFormat="1" x14ac:dyDescent="0.3">
      <c r="B44" s="238" t="s">
        <v>906</v>
      </c>
      <c r="C44" s="278" t="s">
        <v>90</v>
      </c>
      <c r="D44" s="114">
        <f>[4]Clare!E44</f>
        <v>8658</v>
      </c>
      <c r="E44" s="114">
        <f>[5]Clare!D43</f>
        <v>4329.5</v>
      </c>
      <c r="F44" s="114">
        <f t="shared" si="3"/>
        <v>4328.5</v>
      </c>
      <c r="G44" s="320">
        <f t="shared" si="4"/>
        <v>0.50009999999999999</v>
      </c>
      <c r="H44" s="9"/>
      <c r="O44" s="4" t="s">
        <v>1377</v>
      </c>
      <c r="P44" s="4" t="s">
        <v>1378</v>
      </c>
      <c r="Q44" s="4" t="s">
        <v>1380</v>
      </c>
    </row>
    <row r="45" spans="2:17" s="4" customFormat="1" x14ac:dyDescent="0.3">
      <c r="B45" s="230" t="s">
        <v>907</v>
      </c>
      <c r="C45" s="608" t="s">
        <v>91</v>
      </c>
      <c r="D45" s="114">
        <f>[4]Clare!E45</f>
        <v>3117</v>
      </c>
      <c r="E45" s="114">
        <f>[5]Clare!D44</f>
        <v>3117</v>
      </c>
      <c r="F45" s="145">
        <f t="shared" si="3"/>
        <v>0</v>
      </c>
      <c r="G45" s="320">
        <f t="shared" si="4"/>
        <v>1</v>
      </c>
      <c r="H45" s="9"/>
      <c r="O45" s="4" t="s">
        <v>1377</v>
      </c>
      <c r="P45" s="4" t="s">
        <v>1378</v>
      </c>
      <c r="Q45" s="4" t="s">
        <v>1383</v>
      </c>
    </row>
    <row r="46" spans="2:17" s="3" customFormat="1" ht="14.5" thickBot="1" x14ac:dyDescent="0.35">
      <c r="B46" s="124" t="s">
        <v>908</v>
      </c>
      <c r="C46" s="106" t="s">
        <v>92</v>
      </c>
      <c r="D46" s="110">
        <f>SUM(D41:D45)</f>
        <v>69263</v>
      </c>
      <c r="E46" s="110">
        <f>SUM(E41:E45)</f>
        <v>25370.5</v>
      </c>
      <c r="F46" s="110">
        <f t="shared" si="3"/>
        <v>43892.5</v>
      </c>
      <c r="G46" s="125">
        <f t="shared" si="4"/>
        <v>0.36630000000000001</v>
      </c>
      <c r="H46" s="7">
        <f t="shared" si="6"/>
        <v>0.36630000000000001</v>
      </c>
    </row>
    <row r="47" spans="2:17" x14ac:dyDescent="0.3">
      <c r="B47" s="123"/>
      <c r="C47" s="95"/>
      <c r="D47" s="90"/>
      <c r="E47" s="113"/>
      <c r="F47" s="113"/>
      <c r="G47" s="130"/>
      <c r="H47" s="7"/>
    </row>
    <row r="48" spans="2:17" s="3" customFormat="1" ht="14.5" thickBot="1" x14ac:dyDescent="0.35">
      <c r="B48" s="124"/>
      <c r="C48" s="106" t="s">
        <v>619</v>
      </c>
      <c r="D48" s="110">
        <f>SUM(D46,D40,D32,D22,D8:D9)</f>
        <v>289359</v>
      </c>
      <c r="E48" s="110">
        <f>SUM($E$46,$E$40,$E$32,$E$22,$E$11)</f>
        <v>86347.5</v>
      </c>
      <c r="F48" s="110">
        <f t="shared" si="3"/>
        <v>203011.5</v>
      </c>
      <c r="G48" s="125">
        <f t="shared" si="4"/>
        <v>0.2984</v>
      </c>
      <c r="H48" s="7"/>
    </row>
    <row r="49" spans="2:8" s="3" customFormat="1" x14ac:dyDescent="0.3">
      <c r="B49" s="129"/>
      <c r="C49" s="94"/>
      <c r="D49" s="113"/>
      <c r="E49" s="113"/>
      <c r="F49" s="113"/>
      <c r="G49" s="131"/>
      <c r="H49" s="7"/>
    </row>
    <row r="50" spans="2:8" s="3" customFormat="1" x14ac:dyDescent="0.3">
      <c r="B50" s="129"/>
      <c r="C50" s="107"/>
      <c r="D50" s="90"/>
      <c r="E50" s="113"/>
      <c r="F50" s="113"/>
      <c r="G50" s="132"/>
      <c r="H50" s="7"/>
    </row>
    <row r="51" spans="2:8" s="3" customFormat="1" ht="14.5" thickBot="1" x14ac:dyDescent="0.35">
      <c r="B51" s="124"/>
      <c r="C51" s="106" t="s">
        <v>1543</v>
      </c>
      <c r="D51" s="110">
        <f>D48+D10</f>
        <v>258275</v>
      </c>
      <c r="E51" s="110">
        <f>E48+E10</f>
        <v>86347.5</v>
      </c>
      <c r="F51" s="110">
        <f>F48+F10</f>
        <v>171927.5</v>
      </c>
      <c r="G51" s="125">
        <f t="shared" ref="G51" si="7">ROUND((E51/D51),4)</f>
        <v>0.33429999999999999</v>
      </c>
      <c r="H51" s="7"/>
    </row>
    <row r="52" spans="2:8" x14ac:dyDescent="0.3">
      <c r="B52" s="123"/>
      <c r="C52" s="95"/>
      <c r="D52" s="90"/>
      <c r="E52" s="90"/>
      <c r="F52" s="90"/>
      <c r="G52" s="122"/>
    </row>
    <row r="53" spans="2:8" s="3" customFormat="1" ht="14.5" thickBot="1" x14ac:dyDescent="0.35">
      <c r="B53" s="124"/>
      <c r="C53" s="106" t="s">
        <v>1630</v>
      </c>
      <c r="D53" s="110">
        <v>247483</v>
      </c>
      <c r="E53" s="110">
        <v>116503</v>
      </c>
      <c r="F53" s="110">
        <f>D53-E53</f>
        <v>130980</v>
      </c>
      <c r="G53" s="125">
        <f>E53/D53</f>
        <v>0.47075152636746764</v>
      </c>
      <c r="H53" s="7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1"/>
  <sheetViews>
    <sheetView topLeftCell="A33" zoomScaleNormal="100" workbookViewId="0">
      <selection activeCell="D47" sqref="D47"/>
    </sheetView>
  </sheetViews>
  <sheetFormatPr defaultRowHeight="14" x14ac:dyDescent="0.3"/>
  <cols>
    <col min="1" max="1" width="9" style="24"/>
    <col min="2" max="2" width="10.83203125" style="24" bestFit="1" customWidth="1"/>
    <col min="3" max="3" width="48" customWidth="1"/>
    <col min="4" max="6" width="12" bestFit="1" customWidth="1"/>
    <col min="7" max="7" width="12.5" style="8" bestFit="1" customWidth="1"/>
    <col min="8" max="8" width="10.75" hidden="1" customWidth="1"/>
    <col min="9" max="10" width="9" hidden="1" customWidth="1"/>
    <col min="11" max="11" width="22.58203125" hidden="1" customWidth="1"/>
    <col min="12" max="12" width="9" hidden="1" customWidth="1"/>
    <col min="13" max="13" width="2.83203125" hidden="1" customWidth="1"/>
    <col min="14" max="14" width="16.75" hidden="1" customWidth="1"/>
    <col min="15" max="15" width="15.5" hidden="1" customWidth="1"/>
    <col min="16" max="16" width="10.83203125" hidden="1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v>0</v>
      </c>
    </row>
    <row r="4" spans="2:16" s="3" customFormat="1" ht="18" thickBot="1" x14ac:dyDescent="0.4">
      <c r="B4" s="120"/>
      <c r="C4" s="102" t="s">
        <v>93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v>1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0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240"/>
      <c r="E7" s="143"/>
      <c r="F7" s="176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909</v>
      </c>
      <c r="C8" s="286" t="s">
        <v>94</v>
      </c>
      <c r="D8" s="604">
        <f>[4]Hadleigh!E8</f>
        <v>19410</v>
      </c>
      <c r="E8" s="114">
        <f>[5]Hadleigh!D8</f>
        <v>8087.5</v>
      </c>
      <c r="F8" s="114">
        <f>D8-E8</f>
        <v>11322.5</v>
      </c>
      <c r="G8" s="243">
        <f t="shared" ref="G8:G13" si="0">ROUND((E8/D8),4)</f>
        <v>0.41670000000000001</v>
      </c>
      <c r="H8" s="16"/>
      <c r="J8" s="13"/>
      <c r="K8" s="24"/>
      <c r="L8" s="13">
        <f>SUM(L3:L7)</f>
        <v>5</v>
      </c>
      <c r="N8" s="4" t="s">
        <v>1381</v>
      </c>
      <c r="O8" s="4" t="s">
        <v>1378</v>
      </c>
      <c r="P8" s="4" t="s">
        <v>1379</v>
      </c>
    </row>
    <row r="9" spans="2:16" s="4" customFormat="1" hidden="1" x14ac:dyDescent="0.3">
      <c r="B9" s="238" t="s">
        <v>910</v>
      </c>
      <c r="C9" s="233" t="s">
        <v>95</v>
      </c>
      <c r="D9" s="114">
        <f>[4]Hadleigh!E9</f>
        <v>0</v>
      </c>
      <c r="E9" s="114">
        <f>[5]Hadleigh!D9</f>
        <v>0</v>
      </c>
      <c r="F9" s="114">
        <f t="shared" ref="F9:F13" si="1">D9-E9</f>
        <v>0</v>
      </c>
      <c r="G9" s="243">
        <v>0</v>
      </c>
      <c r="J9" s="13"/>
      <c r="K9" s="13"/>
      <c r="L9" s="20"/>
    </row>
    <row r="10" spans="2:16" s="4" customFormat="1" x14ac:dyDescent="0.3">
      <c r="B10" s="238" t="s">
        <v>911</v>
      </c>
      <c r="C10" s="233" t="s">
        <v>96</v>
      </c>
      <c r="D10" s="114">
        <f>[4]Hadleigh!E10</f>
        <v>5949</v>
      </c>
      <c r="E10" s="114">
        <f>[5]Hadleigh!D10</f>
        <v>2000</v>
      </c>
      <c r="F10" s="114">
        <f t="shared" si="1"/>
        <v>3949</v>
      </c>
      <c r="G10" s="243">
        <f t="shared" si="0"/>
        <v>0.3362</v>
      </c>
      <c r="H10" s="16"/>
      <c r="K10" s="13"/>
      <c r="L10" s="13"/>
    </row>
    <row r="11" spans="2:16" s="4" customFormat="1" x14ac:dyDescent="0.3">
      <c r="B11" s="238" t="s">
        <v>912</v>
      </c>
      <c r="C11" s="233" t="s">
        <v>97</v>
      </c>
      <c r="D11" s="114">
        <f>[4]Hadleigh!E11</f>
        <v>6561</v>
      </c>
      <c r="E11" s="114">
        <f>[5]Hadleigh!D11</f>
        <v>3281</v>
      </c>
      <c r="F11" s="114">
        <f t="shared" si="1"/>
        <v>3280</v>
      </c>
      <c r="G11" s="243">
        <f t="shared" si="0"/>
        <v>0.50009999999999999</v>
      </c>
      <c r="H11" s="16"/>
      <c r="K11" s="13"/>
      <c r="N11" s="4" t="s">
        <v>1377</v>
      </c>
      <c r="O11" s="4" t="s">
        <v>1378</v>
      </c>
      <c r="P11" s="4" t="s">
        <v>1380</v>
      </c>
    </row>
    <row r="12" spans="2:16" s="4" customFormat="1" x14ac:dyDescent="0.3">
      <c r="B12" s="238" t="s">
        <v>913</v>
      </c>
      <c r="C12" s="233" t="s">
        <v>98</v>
      </c>
      <c r="D12" s="114">
        <f>[4]Hadleigh!E12</f>
        <v>5949</v>
      </c>
      <c r="E12" s="114">
        <f>[5]Hadleigh!D12</f>
        <v>1669.5</v>
      </c>
      <c r="F12" s="114">
        <f t="shared" si="1"/>
        <v>4279.5</v>
      </c>
      <c r="G12" s="243">
        <f t="shared" si="0"/>
        <v>0.28060000000000002</v>
      </c>
      <c r="H12" s="16"/>
      <c r="N12" s="4" t="s">
        <v>1381</v>
      </c>
      <c r="O12" s="4" t="s">
        <v>1378</v>
      </c>
    </row>
    <row r="13" spans="2:16" s="4" customFormat="1" x14ac:dyDescent="0.3">
      <c r="B13" s="230" t="s">
        <v>914</v>
      </c>
      <c r="C13" s="247" t="s">
        <v>99</v>
      </c>
      <c r="D13" s="145">
        <f>[4]Hadleigh!E13</f>
        <v>9197</v>
      </c>
      <c r="E13" s="114">
        <f>[5]Hadleigh!D13</f>
        <v>6897</v>
      </c>
      <c r="F13" s="114">
        <f t="shared" si="1"/>
        <v>2300</v>
      </c>
      <c r="G13" s="243">
        <f t="shared" si="0"/>
        <v>0.74990000000000001</v>
      </c>
      <c r="H13" s="16"/>
      <c r="N13" s="4" t="s">
        <v>1381</v>
      </c>
      <c r="O13" s="4" t="s">
        <v>1382</v>
      </c>
      <c r="P13" s="4" t="s">
        <v>1379</v>
      </c>
    </row>
    <row r="14" spans="2:16" s="11" customFormat="1" ht="28.5" thickBot="1" x14ac:dyDescent="0.35">
      <c r="B14" s="248" t="s">
        <v>1352</v>
      </c>
      <c r="C14" s="249" t="s">
        <v>119</v>
      </c>
      <c r="D14" s="250">
        <f>SUM(D8:D13)</f>
        <v>47066</v>
      </c>
      <c r="E14" s="250">
        <f>SUM(E8:E13)</f>
        <v>21935</v>
      </c>
      <c r="F14" s="250">
        <f>D14-E14</f>
        <v>25131</v>
      </c>
      <c r="G14" s="229">
        <f t="shared" ref="G14:G44" si="2">ROUND((E14/D14),4)</f>
        <v>0.46600000000000003</v>
      </c>
      <c r="H14" s="17">
        <f>G14</f>
        <v>0.46600000000000003</v>
      </c>
    </row>
    <row r="15" spans="2:16" s="4" customFormat="1" x14ac:dyDescent="0.3">
      <c r="B15" s="244"/>
      <c r="C15" s="240"/>
      <c r="D15" s="245"/>
      <c r="E15" s="245"/>
      <c r="F15" s="245"/>
      <c r="G15" s="246"/>
    </row>
    <row r="16" spans="2:16" s="4" customFormat="1" x14ac:dyDescent="0.3">
      <c r="B16" s="238" t="s">
        <v>915</v>
      </c>
      <c r="C16" s="233" t="s">
        <v>100</v>
      </c>
      <c r="D16" s="114">
        <f>[4]Hadleigh!E16</f>
        <v>10210</v>
      </c>
      <c r="E16" s="114">
        <f>[5]Hadleigh!D16</f>
        <v>7000</v>
      </c>
      <c r="F16" s="114">
        <f t="shared" ref="F16:F19" si="3">D16-E16</f>
        <v>3210</v>
      </c>
      <c r="G16" s="243">
        <f t="shared" ref="G16:G19" si="4">ROUND((E16/D16),4)</f>
        <v>0.68559999999999999</v>
      </c>
      <c r="H16" s="16"/>
      <c r="N16" s="4" t="s">
        <v>1377</v>
      </c>
      <c r="O16" s="4" t="s">
        <v>1378</v>
      </c>
    </row>
    <row r="17" spans="2:16" s="4" customFormat="1" x14ac:dyDescent="0.3">
      <c r="B17" s="238" t="s">
        <v>916</v>
      </c>
      <c r="C17" s="233" t="s">
        <v>101</v>
      </c>
      <c r="D17" s="114">
        <f>[4]Hadleigh!E17</f>
        <v>14570</v>
      </c>
      <c r="E17" s="114">
        <f>[5]Hadleigh!D17</f>
        <v>4207</v>
      </c>
      <c r="F17" s="114">
        <f t="shared" si="3"/>
        <v>10363</v>
      </c>
      <c r="G17" s="243">
        <f t="shared" si="4"/>
        <v>0.28870000000000001</v>
      </c>
      <c r="H17" s="16"/>
      <c r="N17" s="4" t="s">
        <v>1377</v>
      </c>
      <c r="O17" s="4" t="s">
        <v>1378</v>
      </c>
    </row>
    <row r="18" spans="2:16" s="4" customFormat="1" x14ac:dyDescent="0.3">
      <c r="B18" s="238" t="s">
        <v>917</v>
      </c>
      <c r="C18" s="233" t="s">
        <v>102</v>
      </c>
      <c r="D18" s="114">
        <f>[4]Hadleigh!E19</f>
        <v>22110</v>
      </c>
      <c r="E18" s="114">
        <f>[5]Hadleigh!D18</f>
        <v>14500</v>
      </c>
      <c r="F18" s="114">
        <f t="shared" si="3"/>
        <v>7610</v>
      </c>
      <c r="G18" s="243">
        <f t="shared" si="4"/>
        <v>0.65580000000000005</v>
      </c>
      <c r="H18" s="16"/>
      <c r="N18" s="4" t="s">
        <v>1384</v>
      </c>
      <c r="O18" s="4" t="s">
        <v>1382</v>
      </c>
      <c r="P18" s="4" t="s">
        <v>1379</v>
      </c>
    </row>
    <row r="19" spans="2:16" s="4" customFormat="1" x14ac:dyDescent="0.3">
      <c r="B19" s="230" t="s">
        <v>918</v>
      </c>
      <c r="C19" s="247" t="s">
        <v>103</v>
      </c>
      <c r="D19" s="114">
        <f>[4]Hadleigh!E18</f>
        <v>13410</v>
      </c>
      <c r="E19" s="114">
        <f>[5]Hadleigh!D19</f>
        <v>6018</v>
      </c>
      <c r="F19" s="114">
        <f t="shared" si="3"/>
        <v>7392</v>
      </c>
      <c r="G19" s="243">
        <f t="shared" si="4"/>
        <v>0.44879999999999998</v>
      </c>
      <c r="H19" s="16"/>
      <c r="N19" s="4" t="s">
        <v>1381</v>
      </c>
      <c r="O19" s="4" t="s">
        <v>1382</v>
      </c>
      <c r="P19" s="4" t="s">
        <v>1379</v>
      </c>
    </row>
    <row r="20" spans="2:16" s="11" customFormat="1" ht="28.5" thickBot="1" x14ac:dyDescent="0.35">
      <c r="B20" s="248" t="s">
        <v>1353</v>
      </c>
      <c r="C20" s="249" t="s">
        <v>118</v>
      </c>
      <c r="D20" s="250">
        <f>SUM(D16:D19)</f>
        <v>60300</v>
      </c>
      <c r="E20" s="250">
        <f>SUM(E16:E19)</f>
        <v>31725</v>
      </c>
      <c r="F20" s="250">
        <f>D20-E20</f>
        <v>28575</v>
      </c>
      <c r="G20" s="229">
        <f t="shared" si="2"/>
        <v>0.52610000000000001</v>
      </c>
      <c r="H20" s="17">
        <f>G20</f>
        <v>0.52610000000000001</v>
      </c>
    </row>
    <row r="21" spans="2:16" s="4" customFormat="1" x14ac:dyDescent="0.3">
      <c r="B21" s="244"/>
      <c r="C21" s="240"/>
      <c r="D21" s="245"/>
      <c r="E21" s="245"/>
      <c r="F21" s="245"/>
      <c r="G21" s="246"/>
    </row>
    <row r="22" spans="2:16" s="4" customFormat="1" x14ac:dyDescent="0.3">
      <c r="B22" s="238" t="s">
        <v>919</v>
      </c>
      <c r="C22" s="233" t="s">
        <v>7</v>
      </c>
      <c r="D22" s="114">
        <f>[4]Hadleigh!E22</f>
        <v>49807</v>
      </c>
      <c r="E22" s="114">
        <f>[5]Hadleigh!D22</f>
        <v>17630</v>
      </c>
      <c r="F22" s="114">
        <f t="shared" ref="F22:F24" si="5">D22-E22</f>
        <v>32177</v>
      </c>
      <c r="G22" s="243">
        <f t="shared" ref="G22:G24" si="6">ROUND((E22/D22),4)</f>
        <v>0.35399999999999998</v>
      </c>
      <c r="H22" s="16"/>
      <c r="N22" s="4" t="s">
        <v>1381</v>
      </c>
      <c r="O22" s="4" t="s">
        <v>1378</v>
      </c>
      <c r="P22" s="4" t="s">
        <v>1379</v>
      </c>
    </row>
    <row r="23" spans="2:16" s="4" customFormat="1" x14ac:dyDescent="0.3">
      <c r="B23" s="238" t="s">
        <v>920</v>
      </c>
      <c r="C23" s="233" t="s">
        <v>104</v>
      </c>
      <c r="D23" s="114">
        <f>[4]Hadleigh!E23</f>
        <v>11496</v>
      </c>
      <c r="E23" s="114">
        <f>[5]Hadleigh!D23</f>
        <v>6000</v>
      </c>
      <c r="F23" s="114">
        <f t="shared" si="5"/>
        <v>5496</v>
      </c>
      <c r="G23" s="243">
        <f t="shared" si="6"/>
        <v>0.52190000000000003</v>
      </c>
      <c r="H23" s="16"/>
      <c r="N23" s="4" t="s">
        <v>1381</v>
      </c>
      <c r="O23" s="4" t="s">
        <v>1378</v>
      </c>
      <c r="P23" s="4" t="s">
        <v>1379</v>
      </c>
    </row>
    <row r="24" spans="2:16" s="4" customFormat="1" x14ac:dyDescent="0.3">
      <c r="B24" s="238" t="s">
        <v>921</v>
      </c>
      <c r="C24" s="233" t="s">
        <v>105</v>
      </c>
      <c r="D24" s="114">
        <f>[4]Hadleigh!E24</f>
        <v>8031</v>
      </c>
      <c r="E24" s="114">
        <f>[5]Hadleigh!D24</f>
        <v>4000</v>
      </c>
      <c r="F24" s="114">
        <f t="shared" si="5"/>
        <v>4031</v>
      </c>
      <c r="G24" s="243">
        <f t="shared" si="6"/>
        <v>0.49809999999999999</v>
      </c>
      <c r="H24" s="16"/>
      <c r="N24" s="4" t="s">
        <v>1377</v>
      </c>
      <c r="O24" s="4" t="s">
        <v>1378</v>
      </c>
      <c r="P24" s="4" t="s">
        <v>1380</v>
      </c>
    </row>
    <row r="25" spans="2:16" s="3" customFormat="1" ht="14.5" thickBot="1" x14ac:dyDescent="0.35">
      <c r="B25" s="222" t="s">
        <v>1354</v>
      </c>
      <c r="C25" s="226" t="s">
        <v>117</v>
      </c>
      <c r="D25" s="109">
        <f>SUM(D22:D24)</f>
        <v>69334</v>
      </c>
      <c r="E25" s="109">
        <f>SUM(E22:E24)</f>
        <v>27630</v>
      </c>
      <c r="F25" s="109">
        <f>D25-E25</f>
        <v>41704</v>
      </c>
      <c r="G25" s="229">
        <f t="shared" si="2"/>
        <v>0.39850000000000002</v>
      </c>
      <c r="H25" s="17">
        <f>G25</f>
        <v>0.39850000000000002</v>
      </c>
    </row>
    <row r="26" spans="2:16" s="4" customFormat="1" x14ac:dyDescent="0.3">
      <c r="B26" s="244"/>
      <c r="C26" s="240"/>
      <c r="D26" s="245"/>
      <c r="E26" s="245"/>
      <c r="F26" s="245"/>
      <c r="G26" s="246"/>
    </row>
    <row r="27" spans="2:16" s="4" customFormat="1" x14ac:dyDescent="0.3">
      <c r="B27" s="238" t="s">
        <v>922</v>
      </c>
      <c r="C27" s="233" t="s">
        <v>106</v>
      </c>
      <c r="D27" s="114">
        <v>0</v>
      </c>
      <c r="E27" s="114">
        <f>[5]Hadleigh!D28</f>
        <v>12610</v>
      </c>
      <c r="F27" s="114"/>
      <c r="G27" s="243"/>
      <c r="N27" s="4" t="s">
        <v>1377</v>
      </c>
      <c r="O27" s="4" t="s">
        <v>1378</v>
      </c>
    </row>
    <row r="28" spans="2:16" s="4" customFormat="1" x14ac:dyDescent="0.3">
      <c r="B28" s="238" t="s">
        <v>923</v>
      </c>
      <c r="C28" s="233" t="s">
        <v>107</v>
      </c>
      <c r="D28" s="114">
        <v>0</v>
      </c>
      <c r="E28" s="114">
        <f>[5]Hadleigh!D29</f>
        <v>6000</v>
      </c>
      <c r="F28" s="114"/>
      <c r="G28" s="243"/>
      <c r="N28" s="4" t="s">
        <v>1377</v>
      </c>
      <c r="O28" s="4" t="s">
        <v>1378</v>
      </c>
    </row>
    <row r="29" spans="2:16" s="4" customFormat="1" x14ac:dyDescent="0.3">
      <c r="B29" s="238" t="s">
        <v>924</v>
      </c>
      <c r="C29" s="233" t="s">
        <v>108</v>
      </c>
      <c r="D29" s="114">
        <v>0</v>
      </c>
      <c r="E29" s="114">
        <f>[5]Hadleigh!D30</f>
        <v>4055</v>
      </c>
      <c r="F29" s="114"/>
      <c r="G29" s="243"/>
      <c r="N29" s="4" t="s">
        <v>1377</v>
      </c>
      <c r="O29" s="4" t="s">
        <v>1378</v>
      </c>
    </row>
    <row r="30" spans="2:16" s="4" customFormat="1" x14ac:dyDescent="0.3">
      <c r="B30" s="230" t="s">
        <v>925</v>
      </c>
      <c r="C30" s="247" t="s">
        <v>109</v>
      </c>
      <c r="D30" s="145">
        <v>0</v>
      </c>
      <c r="E30" s="114">
        <f>[5]Hadleigh!D31</f>
        <v>5000</v>
      </c>
      <c r="F30" s="114"/>
      <c r="G30" s="241"/>
      <c r="N30" s="4" t="s">
        <v>1381</v>
      </c>
      <c r="O30" s="4" t="s">
        <v>1378</v>
      </c>
      <c r="P30" s="4" t="s">
        <v>1379</v>
      </c>
    </row>
    <row r="31" spans="2:16" s="11" customFormat="1" ht="28.5" thickBot="1" x14ac:dyDescent="0.35">
      <c r="B31" s="248" t="s">
        <v>926</v>
      </c>
      <c r="C31" s="249" t="s">
        <v>116</v>
      </c>
      <c r="D31" s="250">
        <f>[4]Hadleigh!$E$31</f>
        <v>40221</v>
      </c>
      <c r="E31" s="250">
        <f>SUM(E27:E30)</f>
        <v>27665</v>
      </c>
      <c r="F31" s="250">
        <f>D31-E31</f>
        <v>12556</v>
      </c>
      <c r="G31" s="229">
        <f t="shared" si="2"/>
        <v>0.68779999999999997</v>
      </c>
      <c r="H31" s="17">
        <f>G31</f>
        <v>0.68779999999999997</v>
      </c>
    </row>
    <row r="32" spans="2:16" s="4" customFormat="1" x14ac:dyDescent="0.3">
      <c r="B32" s="244"/>
      <c r="C32" s="240"/>
      <c r="D32" s="245"/>
      <c r="E32" s="245"/>
      <c r="F32" s="245"/>
      <c r="G32" s="246"/>
    </row>
    <row r="33" spans="2:16" s="4" customFormat="1" x14ac:dyDescent="0.3">
      <c r="B33" s="238" t="s">
        <v>927</v>
      </c>
      <c r="C33" s="233" t="s">
        <v>110</v>
      </c>
      <c r="D33" s="114">
        <f>[4]Hadleigh!E33</f>
        <v>11700</v>
      </c>
      <c r="E33" s="114">
        <f>[5]Hadleigh!D34</f>
        <v>7020</v>
      </c>
      <c r="F33" s="114">
        <f t="shared" ref="F33:F37" si="7">D33-E33</f>
        <v>4680</v>
      </c>
      <c r="G33" s="243">
        <f>ROUND((E33/D33),4)</f>
        <v>0.6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928</v>
      </c>
      <c r="C34" s="233" t="s">
        <v>111</v>
      </c>
      <c r="D34" s="612">
        <f>[4]Hadleigh!E34</f>
        <v>20000</v>
      </c>
      <c r="E34" s="114">
        <f>[5]Hadleigh!D35</f>
        <v>10000</v>
      </c>
      <c r="F34" s="114">
        <f t="shared" si="7"/>
        <v>10000</v>
      </c>
      <c r="G34" s="243">
        <f t="shared" ref="G34:G37" si="8">ROUND((E34/D34),4)</f>
        <v>0.5</v>
      </c>
      <c r="H34" s="16"/>
      <c r="N34" s="4" t="s">
        <v>1377</v>
      </c>
      <c r="O34" s="4" t="s">
        <v>1378</v>
      </c>
    </row>
    <row r="35" spans="2:16" s="4" customFormat="1" x14ac:dyDescent="0.3">
      <c r="B35" s="238" t="s">
        <v>929</v>
      </c>
      <c r="C35" s="233" t="s">
        <v>112</v>
      </c>
      <c r="D35" s="114">
        <f>[4]Hadleigh!E35</f>
        <v>12400</v>
      </c>
      <c r="E35" s="114">
        <f>[5]Hadleigh!D36</f>
        <v>7238</v>
      </c>
      <c r="F35" s="114">
        <f t="shared" si="7"/>
        <v>5162</v>
      </c>
      <c r="G35" s="243">
        <f t="shared" si="8"/>
        <v>0.5837</v>
      </c>
      <c r="H35" s="16"/>
      <c r="N35" s="4" t="s">
        <v>1377</v>
      </c>
      <c r="O35" s="4" t="s">
        <v>1378</v>
      </c>
    </row>
    <row r="36" spans="2:16" s="4" customFormat="1" x14ac:dyDescent="0.3">
      <c r="B36" s="238" t="s">
        <v>930</v>
      </c>
      <c r="C36" s="233" t="s">
        <v>113</v>
      </c>
      <c r="D36" s="114">
        <f>[4]Hadleigh!E36</f>
        <v>20000</v>
      </c>
      <c r="E36" s="114">
        <f>[5]Hadleigh!D37</f>
        <v>8000</v>
      </c>
      <c r="F36" s="114">
        <f t="shared" si="7"/>
        <v>12000</v>
      </c>
      <c r="G36" s="243">
        <f t="shared" si="8"/>
        <v>0.4</v>
      </c>
      <c r="H36" s="16"/>
      <c r="N36" s="4" t="s">
        <v>1377</v>
      </c>
      <c r="O36" s="4" t="s">
        <v>1378</v>
      </c>
    </row>
    <row r="37" spans="2:16" s="4" customFormat="1" x14ac:dyDescent="0.3">
      <c r="B37" s="238" t="s">
        <v>931</v>
      </c>
      <c r="C37" s="233" t="s">
        <v>114</v>
      </c>
      <c r="D37" s="114">
        <f>[4]Hadleigh!E37</f>
        <v>8000</v>
      </c>
      <c r="E37" s="114">
        <f>[5]Hadleigh!D38</f>
        <v>4662</v>
      </c>
      <c r="F37" s="114">
        <f t="shared" si="7"/>
        <v>3338</v>
      </c>
      <c r="G37" s="243">
        <f t="shared" si="8"/>
        <v>0.58279999999999998</v>
      </c>
      <c r="H37" s="16"/>
      <c r="N37" s="4" t="s">
        <v>1381</v>
      </c>
      <c r="O37" s="4" t="s">
        <v>1382</v>
      </c>
      <c r="P37" s="4" t="s">
        <v>1379</v>
      </c>
    </row>
    <row r="38" spans="2:16" s="10" customFormat="1" ht="28.5" thickBot="1" x14ac:dyDescent="0.35">
      <c r="B38" s="248" t="s">
        <v>932</v>
      </c>
      <c r="C38" s="249" t="s">
        <v>115</v>
      </c>
      <c r="D38" s="250">
        <f>SUM(D33:D37)</f>
        <v>72100</v>
      </c>
      <c r="E38" s="250">
        <f>SUM(E33:E37)</f>
        <v>36920</v>
      </c>
      <c r="F38" s="250">
        <f t="shared" ref="F38" si="9">D38-E38</f>
        <v>35180</v>
      </c>
      <c r="G38" s="229">
        <f t="shared" si="2"/>
        <v>0.5121</v>
      </c>
      <c r="H38" s="92">
        <f t="shared" ref="H38" si="10">G38</f>
        <v>0.5121</v>
      </c>
    </row>
    <row r="39" spans="2:16" s="10" customFormat="1" x14ac:dyDescent="0.3">
      <c r="B39" s="272"/>
      <c r="C39" s="285"/>
      <c r="D39" s="273"/>
      <c r="E39" s="274"/>
      <c r="F39" s="274"/>
      <c r="G39" s="259"/>
      <c r="H39" s="16"/>
    </row>
    <row r="40" spans="2:16" s="10" customFormat="1" x14ac:dyDescent="0.3">
      <c r="B40" s="272"/>
      <c r="C40" s="285" t="s">
        <v>1364</v>
      </c>
      <c r="D40" s="273">
        <f>[4]Hadleigh!$E$40</f>
        <v>10531</v>
      </c>
      <c r="E40" s="274"/>
      <c r="F40" s="273">
        <f>D40</f>
        <v>10531</v>
      </c>
      <c r="G40" s="259"/>
      <c r="H40" s="16"/>
    </row>
    <row r="41" spans="2:16" s="10" customFormat="1" x14ac:dyDescent="0.3">
      <c r="B41" s="272"/>
      <c r="C41" s="285"/>
      <c r="D41" s="273"/>
      <c r="E41" s="274"/>
      <c r="F41" s="274"/>
      <c r="G41" s="259"/>
      <c r="H41" s="16"/>
    </row>
    <row r="42" spans="2:16" s="10" customFormat="1" x14ac:dyDescent="0.3">
      <c r="B42" s="272"/>
      <c r="C42" s="172" t="s">
        <v>618</v>
      </c>
      <c r="D42" s="273"/>
      <c r="E42" s="274"/>
      <c r="F42" s="274"/>
      <c r="G42" s="259"/>
      <c r="H42" s="16"/>
    </row>
    <row r="43" spans="2:16" s="4" customFormat="1" x14ac:dyDescent="0.3">
      <c r="B43" s="238"/>
      <c r="C43" s="233"/>
      <c r="D43" s="114"/>
      <c r="E43" s="114"/>
      <c r="F43" s="114"/>
      <c r="G43" s="241"/>
    </row>
    <row r="44" spans="2:16" s="3" customFormat="1" ht="14.5" thickBot="1" x14ac:dyDescent="0.35">
      <c r="B44" s="248"/>
      <c r="C44" s="226" t="s">
        <v>58</v>
      </c>
      <c r="D44" s="109">
        <f>SUM(D38,D31,D25,D20,D14,D40)</f>
        <v>299552</v>
      </c>
      <c r="E44" s="109">
        <f>SUM(E38,E31,E25,E20,E14)</f>
        <v>145875</v>
      </c>
      <c r="F44" s="109">
        <f>D44-E44</f>
        <v>153677</v>
      </c>
      <c r="G44" s="282">
        <f t="shared" si="2"/>
        <v>0.48699999999999999</v>
      </c>
    </row>
    <row r="45" spans="2:16" s="4" customFormat="1" x14ac:dyDescent="0.3">
      <c r="B45" s="238"/>
      <c r="C45" s="233"/>
      <c r="D45" s="114"/>
      <c r="E45" s="114"/>
      <c r="F45" s="114"/>
      <c r="G45" s="243"/>
    </row>
    <row r="46" spans="2:16" s="4" customFormat="1" ht="14.5" thickBot="1" x14ac:dyDescent="0.35">
      <c r="B46" s="248"/>
      <c r="C46" s="226" t="s">
        <v>1630</v>
      </c>
      <c r="D46" s="109">
        <f>[7]Hadleigh!$D$46</f>
        <v>274317</v>
      </c>
      <c r="E46" s="109">
        <v>172826</v>
      </c>
      <c r="F46" s="109">
        <f>D46-E46</f>
        <v>101491</v>
      </c>
      <c r="G46" s="282">
        <f>E46/D46</f>
        <v>0.63002292967625051</v>
      </c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  <row r="62" spans="7:7" s="4" customFormat="1" x14ac:dyDescent="0.3">
      <c r="G62" s="9"/>
    </row>
    <row r="63" spans="7:7" s="4" customFormat="1" x14ac:dyDescent="0.3">
      <c r="G63" s="9"/>
    </row>
    <row r="64" spans="7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  <row r="69" spans="7:7" s="4" customFormat="1" x14ac:dyDescent="0.3">
      <c r="G69" s="9"/>
    </row>
    <row r="70" spans="7:7" s="4" customFormat="1" x14ac:dyDescent="0.3">
      <c r="G70" s="9"/>
    </row>
    <row r="71" spans="7:7" s="4" customFormat="1" x14ac:dyDescent="0.3">
      <c r="G7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7"/>
  <sheetViews>
    <sheetView topLeftCell="A36" zoomScaleNormal="100" workbookViewId="0">
      <selection activeCell="F48" sqref="F48"/>
    </sheetView>
  </sheetViews>
  <sheetFormatPr defaultRowHeight="14" x14ac:dyDescent="0.3"/>
  <cols>
    <col min="1" max="1" width="2.75" style="24" customWidth="1"/>
    <col min="2" max="2" width="10.83203125" style="24" bestFit="1" customWidth="1"/>
    <col min="3" max="3" width="46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1.75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COUNTIF(H8:H42,"&gt;1")</f>
        <v>0</v>
      </c>
    </row>
    <row r="4" spans="2:16" s="3" customFormat="1" ht="23" thickBot="1" x14ac:dyDescent="0.5">
      <c r="B4" s="120"/>
      <c r="C4" s="101" t="s">
        <v>120</v>
      </c>
      <c r="D4" s="642">
        <f>Period</f>
        <v>44043</v>
      </c>
      <c r="E4" s="642"/>
      <c r="F4" s="42"/>
      <c r="G4" s="121"/>
      <c r="J4" s="13"/>
      <c r="K4" s="24" t="s">
        <v>553</v>
      </c>
      <c r="L4" s="13">
        <f>COUNTIF(H8:H43,1)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1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x14ac:dyDescent="0.3">
      <c r="B7" s="128"/>
      <c r="C7" s="103"/>
      <c r="D7" s="103"/>
      <c r="E7" s="103"/>
      <c r="F7" s="103"/>
      <c r="G7" s="168"/>
      <c r="J7" s="13"/>
      <c r="K7" s="24" t="s">
        <v>557</v>
      </c>
      <c r="L7" s="13">
        <v>0</v>
      </c>
    </row>
    <row r="8" spans="2:16" s="4" customFormat="1" x14ac:dyDescent="0.3">
      <c r="B8" s="238" t="s">
        <v>933</v>
      </c>
      <c r="C8" s="233" t="s">
        <v>121</v>
      </c>
      <c r="D8" s="114">
        <f>[4]Ixworth!E8</f>
        <v>8750</v>
      </c>
      <c r="E8" s="114">
        <f>[5]Ixworth!D8</f>
        <v>0</v>
      </c>
      <c r="F8" s="114">
        <f>D8-E8</f>
        <v>8750</v>
      </c>
      <c r="G8" s="243">
        <f>ROUND((E8/D8),4)</f>
        <v>0</v>
      </c>
      <c r="H8" s="16"/>
      <c r="J8" s="13"/>
      <c r="K8" s="13"/>
      <c r="L8" s="13">
        <f>SUM(L3:L7)</f>
        <v>4</v>
      </c>
      <c r="N8" s="4" t="s">
        <v>1381</v>
      </c>
      <c r="O8" s="4" t="s">
        <v>1378</v>
      </c>
      <c r="P8" s="4" t="s">
        <v>1380</v>
      </c>
    </row>
    <row r="9" spans="2:16" s="4" customFormat="1" x14ac:dyDescent="0.3">
      <c r="B9" s="238" t="s">
        <v>934</v>
      </c>
      <c r="C9" s="233" t="s">
        <v>122</v>
      </c>
      <c r="D9" s="114">
        <f>[4]Ixworth!E9</f>
        <v>8350</v>
      </c>
      <c r="E9" s="114">
        <f>[5]Ixworth!D9</f>
        <v>2500</v>
      </c>
      <c r="F9" s="114">
        <f t="shared" ref="F9:F43" si="0">D9-E9</f>
        <v>5850</v>
      </c>
      <c r="G9" s="243">
        <f t="shared" ref="G9:G45" si="1">ROUND((E9/D9),4)</f>
        <v>0.2994</v>
      </c>
      <c r="H9" s="16"/>
      <c r="J9" s="13"/>
      <c r="N9" s="4" t="s">
        <v>1381</v>
      </c>
      <c r="O9" s="4" t="s">
        <v>1378</v>
      </c>
      <c r="P9" s="4" t="s">
        <v>1383</v>
      </c>
    </row>
    <row r="10" spans="2:16" s="4" customFormat="1" x14ac:dyDescent="0.3">
      <c r="B10" s="238" t="s">
        <v>935</v>
      </c>
      <c r="C10" s="233" t="s">
        <v>123</v>
      </c>
      <c r="D10" s="114">
        <f>[4]Ixworth!E10</f>
        <v>2600</v>
      </c>
      <c r="E10" s="114">
        <f>[5]Ixworth!D10</f>
        <v>0</v>
      </c>
      <c r="F10" s="114">
        <f t="shared" si="0"/>
        <v>2600</v>
      </c>
      <c r="G10" s="243">
        <f t="shared" si="1"/>
        <v>0</v>
      </c>
      <c r="H10" s="16"/>
      <c r="K10" s="13"/>
      <c r="L10" s="13"/>
    </row>
    <row r="11" spans="2:16" s="4" customFormat="1" x14ac:dyDescent="0.3">
      <c r="B11" s="238" t="s">
        <v>936</v>
      </c>
      <c r="C11" s="233" t="s">
        <v>124</v>
      </c>
      <c r="D11" s="114">
        <f>[4]Ixworth!E11</f>
        <v>28320</v>
      </c>
      <c r="E11" s="114">
        <f>[5]Ixworth!D11</f>
        <v>14160</v>
      </c>
      <c r="F11" s="114">
        <f t="shared" si="0"/>
        <v>14160</v>
      </c>
      <c r="G11" s="243">
        <f t="shared" si="1"/>
        <v>0.5</v>
      </c>
      <c r="H11" s="16"/>
      <c r="K11" s="13"/>
      <c r="L11" s="13"/>
      <c r="N11" s="4" t="s">
        <v>1381</v>
      </c>
      <c r="O11" s="4" t="s">
        <v>1378</v>
      </c>
      <c r="P11" s="4" t="s">
        <v>1380</v>
      </c>
    </row>
    <row r="12" spans="2:16" s="4" customFormat="1" x14ac:dyDescent="0.3">
      <c r="B12" s="238" t="s">
        <v>937</v>
      </c>
      <c r="C12" s="233" t="s">
        <v>125</v>
      </c>
      <c r="D12" s="114">
        <f>[4]Ixworth!E12</f>
        <v>4700</v>
      </c>
      <c r="E12" s="114">
        <f>[5]Ixworth!D12</f>
        <v>3000</v>
      </c>
      <c r="F12" s="114">
        <f t="shared" si="0"/>
        <v>1700</v>
      </c>
      <c r="G12" s="243">
        <f t="shared" si="1"/>
        <v>0.63829999999999998</v>
      </c>
      <c r="H12" s="16"/>
      <c r="N12" s="4" t="s">
        <v>1381</v>
      </c>
      <c r="O12" s="4" t="s">
        <v>1378</v>
      </c>
      <c r="P12" s="4" t="s">
        <v>1383</v>
      </c>
    </row>
    <row r="13" spans="2:16" s="4" customFormat="1" x14ac:dyDescent="0.3">
      <c r="B13" s="238" t="s">
        <v>938</v>
      </c>
      <c r="C13" s="233" t="s">
        <v>126</v>
      </c>
      <c r="D13" s="114">
        <f>[4]Ixworth!E13</f>
        <v>6343</v>
      </c>
      <c r="E13" s="114">
        <f>[5]Ixworth!D13</f>
        <v>3173</v>
      </c>
      <c r="F13" s="114">
        <f t="shared" si="0"/>
        <v>3170</v>
      </c>
      <c r="G13" s="243">
        <f t="shared" si="1"/>
        <v>0.50019999999999998</v>
      </c>
      <c r="H13" s="16"/>
      <c r="N13" s="4" t="s">
        <v>1381</v>
      </c>
      <c r="O13" s="4" t="s">
        <v>1378</v>
      </c>
      <c r="P13" s="4" t="s">
        <v>1383</v>
      </c>
    </row>
    <row r="14" spans="2:16" s="4" customFormat="1" x14ac:dyDescent="0.3">
      <c r="B14" s="230" t="s">
        <v>939</v>
      </c>
      <c r="C14" s="247" t="s">
        <v>434</v>
      </c>
      <c r="D14" s="114">
        <f>[4]Ixworth!E14</f>
        <v>500</v>
      </c>
      <c r="E14" s="114">
        <f>[5]Ixworth!D14</f>
        <v>0</v>
      </c>
      <c r="F14" s="145">
        <f t="shared" si="0"/>
        <v>500</v>
      </c>
      <c r="G14" s="241">
        <f t="shared" si="1"/>
        <v>0</v>
      </c>
      <c r="H14" s="16"/>
    </row>
    <row r="15" spans="2:16" s="3" customFormat="1" ht="14.5" thickBot="1" x14ac:dyDescent="0.35">
      <c r="B15" s="532" t="s">
        <v>939</v>
      </c>
      <c r="C15" s="533" t="s">
        <v>127</v>
      </c>
      <c r="D15" s="109">
        <f>SUM(D8:D14)</f>
        <v>59563</v>
      </c>
      <c r="E15" s="109">
        <f>SUM(E8:E14)</f>
        <v>22833</v>
      </c>
      <c r="F15" s="109">
        <f t="shared" si="0"/>
        <v>36730</v>
      </c>
      <c r="G15" s="229">
        <f t="shared" si="1"/>
        <v>0.38329999999999997</v>
      </c>
      <c r="H15" s="14">
        <f t="shared" ref="H15:H43" si="2">G15</f>
        <v>0.38329999999999997</v>
      </c>
    </row>
    <row r="16" spans="2:16" x14ac:dyDescent="0.3">
      <c r="B16" s="268"/>
      <c r="C16" s="269"/>
      <c r="D16" s="270"/>
      <c r="E16" s="270"/>
      <c r="F16" s="270"/>
      <c r="G16" s="271"/>
      <c r="H16" s="16"/>
    </row>
    <row r="17" spans="2:16" s="4" customFormat="1" x14ac:dyDescent="0.3">
      <c r="B17" s="238" t="s">
        <v>940</v>
      </c>
      <c r="C17" s="233" t="s">
        <v>128</v>
      </c>
      <c r="D17" s="114">
        <f>[4]Ixworth!E17</f>
        <v>8300</v>
      </c>
      <c r="E17" s="114">
        <f>[5]Ixworth!D17</f>
        <v>1540</v>
      </c>
      <c r="F17" s="114">
        <f t="shared" si="0"/>
        <v>6760</v>
      </c>
      <c r="G17" s="243">
        <f t="shared" si="1"/>
        <v>0.1855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941</v>
      </c>
      <c r="C18" s="233" t="s">
        <v>129</v>
      </c>
      <c r="D18" s="114">
        <f>[4]Ixworth!E18</f>
        <v>11000</v>
      </c>
      <c r="E18" s="114">
        <f>[5]Ixworth!D18</f>
        <v>5000</v>
      </c>
      <c r="F18" s="114">
        <f t="shared" si="0"/>
        <v>6000</v>
      </c>
      <c r="G18" s="243">
        <f t="shared" si="1"/>
        <v>0.45450000000000002</v>
      </c>
      <c r="H18" s="16"/>
      <c r="N18" s="4" t="s">
        <v>1381</v>
      </c>
      <c r="O18" s="4" t="s">
        <v>1378</v>
      </c>
      <c r="P18" s="4" t="s">
        <v>1380</v>
      </c>
    </row>
    <row r="19" spans="2:16" s="4" customFormat="1" x14ac:dyDescent="0.3">
      <c r="B19" s="238" t="s">
        <v>942</v>
      </c>
      <c r="C19" s="233" t="s">
        <v>130</v>
      </c>
      <c r="D19" s="114">
        <f>[4]Ixworth!E19</f>
        <v>6000</v>
      </c>
      <c r="E19" s="114">
        <f>[5]Ixworth!D19</f>
        <v>4000</v>
      </c>
      <c r="F19" s="114">
        <f t="shared" si="0"/>
        <v>2000</v>
      </c>
      <c r="G19" s="243">
        <f t="shared" si="1"/>
        <v>0.66669999999999996</v>
      </c>
      <c r="H19" s="16"/>
      <c r="N19" s="4" t="s">
        <v>1377</v>
      </c>
      <c r="O19" s="4" t="s">
        <v>1378</v>
      </c>
    </row>
    <row r="20" spans="2:16" s="4" customFormat="1" x14ac:dyDescent="0.3">
      <c r="B20" s="238" t="s">
        <v>943</v>
      </c>
      <c r="C20" s="233" t="s">
        <v>131</v>
      </c>
      <c r="D20" s="114">
        <f>[4]Ixworth!E20</f>
        <v>2500</v>
      </c>
      <c r="E20" s="114">
        <f>[5]Ixworth!D20</f>
        <v>2500</v>
      </c>
      <c r="F20" s="114">
        <f t="shared" si="0"/>
        <v>0</v>
      </c>
      <c r="G20" s="243">
        <f t="shared" si="1"/>
        <v>1</v>
      </c>
      <c r="H20" s="16"/>
    </row>
    <row r="21" spans="2:16" s="4" customFormat="1" x14ac:dyDescent="0.3">
      <c r="B21" s="238" t="s">
        <v>944</v>
      </c>
      <c r="C21" s="233" t="s">
        <v>132</v>
      </c>
      <c r="D21" s="114">
        <f>[4]Ixworth!E21</f>
        <v>9500</v>
      </c>
      <c r="E21" s="114">
        <f>[5]Ixworth!D21</f>
        <v>9500</v>
      </c>
      <c r="F21" s="114">
        <f t="shared" si="0"/>
        <v>0</v>
      </c>
      <c r="G21" s="243">
        <f t="shared" si="1"/>
        <v>1</v>
      </c>
      <c r="H21" s="16"/>
      <c r="N21" s="4" t="s">
        <v>1381</v>
      </c>
      <c r="O21" s="4" t="s">
        <v>1378</v>
      </c>
      <c r="P21" s="4" t="s">
        <v>1380</v>
      </c>
    </row>
    <row r="22" spans="2:16" s="4" customFormat="1" x14ac:dyDescent="0.3">
      <c r="B22" s="238" t="s">
        <v>945</v>
      </c>
      <c r="C22" s="233" t="s">
        <v>133</v>
      </c>
      <c r="D22" s="114">
        <f>[4]Ixworth!E22</f>
        <v>11057</v>
      </c>
      <c r="E22" s="114">
        <f>[5]Ixworth!D22</f>
        <v>11057</v>
      </c>
      <c r="F22" s="114">
        <f t="shared" si="0"/>
        <v>0</v>
      </c>
      <c r="G22" s="243">
        <f t="shared" si="1"/>
        <v>1</v>
      </c>
      <c r="H22" s="16"/>
      <c r="N22" s="4" t="s">
        <v>1377</v>
      </c>
      <c r="O22" s="4" t="s">
        <v>1378</v>
      </c>
      <c r="P22" s="4" t="s">
        <v>1380</v>
      </c>
    </row>
    <row r="23" spans="2:16" s="4" customFormat="1" x14ac:dyDescent="0.3">
      <c r="B23" s="238" t="s">
        <v>946</v>
      </c>
      <c r="C23" s="233" t="s">
        <v>134</v>
      </c>
      <c r="D23" s="114">
        <f>[4]Ixworth!E23</f>
        <v>8000</v>
      </c>
      <c r="E23" s="114">
        <f>[5]Ixworth!D23</f>
        <v>6000</v>
      </c>
      <c r="F23" s="114">
        <f t="shared" si="0"/>
        <v>2000</v>
      </c>
      <c r="G23" s="243">
        <f t="shared" si="1"/>
        <v>0.75</v>
      </c>
      <c r="H23" s="16"/>
      <c r="N23" s="4" t="s">
        <v>1381</v>
      </c>
      <c r="O23" s="4" t="s">
        <v>1378</v>
      </c>
      <c r="P23" s="4" t="s">
        <v>1380</v>
      </c>
    </row>
    <row r="24" spans="2:16" s="4" customFormat="1" x14ac:dyDescent="0.3">
      <c r="B24" s="238" t="s">
        <v>947</v>
      </c>
      <c r="C24" s="233" t="s">
        <v>135</v>
      </c>
      <c r="D24" s="114">
        <f>[4]Ixworth!E24</f>
        <v>3000</v>
      </c>
      <c r="E24" s="114">
        <f>[5]Ixworth!D24</f>
        <v>2000</v>
      </c>
      <c r="F24" s="114">
        <f t="shared" si="0"/>
        <v>1000</v>
      </c>
      <c r="G24" s="243">
        <f t="shared" si="1"/>
        <v>0.66669999999999996</v>
      </c>
      <c r="H24" s="16"/>
      <c r="N24" s="4" t="s">
        <v>1381</v>
      </c>
      <c r="O24" s="4" t="s">
        <v>1378</v>
      </c>
    </row>
    <row r="25" spans="2:16" s="3" customFormat="1" ht="14.5" thickBot="1" x14ac:dyDescent="0.35">
      <c r="B25" s="222" t="s">
        <v>948</v>
      </c>
      <c r="C25" s="226" t="s">
        <v>136</v>
      </c>
      <c r="D25" s="109">
        <f>SUM(D17:D24)</f>
        <v>59357</v>
      </c>
      <c r="E25" s="109">
        <f>SUM(E17:E24)</f>
        <v>41597</v>
      </c>
      <c r="F25" s="109">
        <f t="shared" si="0"/>
        <v>17760</v>
      </c>
      <c r="G25" s="229">
        <f t="shared" si="1"/>
        <v>0.70079999999999998</v>
      </c>
      <c r="H25" s="14">
        <f t="shared" si="2"/>
        <v>0.70079999999999998</v>
      </c>
    </row>
    <row r="26" spans="2:16" x14ac:dyDescent="0.3">
      <c r="B26" s="268"/>
      <c r="C26" s="269"/>
      <c r="D26" s="270"/>
      <c r="E26" s="270"/>
      <c r="F26" s="270"/>
      <c r="G26" s="271"/>
      <c r="H26" s="16"/>
    </row>
    <row r="27" spans="2:16" s="4" customFormat="1" x14ac:dyDescent="0.3">
      <c r="B27" s="238" t="s">
        <v>949</v>
      </c>
      <c r="C27" s="233" t="s">
        <v>137</v>
      </c>
      <c r="D27" s="114">
        <f>[4]Ixworth!E28</f>
        <v>8015</v>
      </c>
      <c r="E27" s="114">
        <f>[5]Ixworth!D28</f>
        <v>2222</v>
      </c>
      <c r="F27" s="114">
        <f t="shared" si="0"/>
        <v>5793</v>
      </c>
      <c r="G27" s="243">
        <f t="shared" si="1"/>
        <v>0.2772</v>
      </c>
      <c r="H27" s="16"/>
      <c r="N27" s="4" t="s">
        <v>1377</v>
      </c>
      <c r="O27" s="4" t="s">
        <v>1378</v>
      </c>
      <c r="P27" s="4" t="s">
        <v>1380</v>
      </c>
    </row>
    <row r="28" spans="2:16" s="4" customFormat="1" x14ac:dyDescent="0.3">
      <c r="B28" s="238" t="s">
        <v>950</v>
      </c>
      <c r="C28" s="233" t="s">
        <v>138</v>
      </c>
      <c r="D28" s="114">
        <f>[4]Ixworth!E29</f>
        <v>2157</v>
      </c>
      <c r="E28" s="114">
        <f>[5]Ixworth!D29</f>
        <v>1157</v>
      </c>
      <c r="F28" s="114">
        <f t="shared" si="0"/>
        <v>1000</v>
      </c>
      <c r="G28" s="243">
        <f t="shared" si="1"/>
        <v>0.53639999999999999</v>
      </c>
      <c r="H28" s="16"/>
      <c r="N28" s="4" t="s">
        <v>1381</v>
      </c>
      <c r="O28" s="4" t="s">
        <v>1378</v>
      </c>
      <c r="P28" s="4" t="s">
        <v>1380</v>
      </c>
    </row>
    <row r="29" spans="2:16" s="4" customFormat="1" x14ac:dyDescent="0.3">
      <c r="B29" s="238" t="s">
        <v>951</v>
      </c>
      <c r="C29" s="233" t="s">
        <v>139</v>
      </c>
      <c r="D29" s="114">
        <f>[4]Ixworth!E30</f>
        <v>16026</v>
      </c>
      <c r="E29" s="114">
        <f>[5]Ixworth!D30</f>
        <v>1500</v>
      </c>
      <c r="F29" s="114">
        <f t="shared" si="0"/>
        <v>14526</v>
      </c>
      <c r="G29" s="243">
        <f t="shared" si="1"/>
        <v>9.3600000000000003E-2</v>
      </c>
      <c r="H29" s="16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952</v>
      </c>
      <c r="C30" s="233" t="s">
        <v>140</v>
      </c>
      <c r="D30" s="114">
        <f>[4]Ixworth!E31</f>
        <v>21573</v>
      </c>
      <c r="E30" s="114">
        <f>[5]Ixworth!D31</f>
        <v>7573</v>
      </c>
      <c r="F30" s="114">
        <f t="shared" si="0"/>
        <v>14000</v>
      </c>
      <c r="G30" s="243">
        <f t="shared" si="1"/>
        <v>0.35099999999999998</v>
      </c>
      <c r="H30" s="16"/>
      <c r="N30" s="4" t="s">
        <v>1377</v>
      </c>
      <c r="O30" s="4" t="s">
        <v>1378</v>
      </c>
      <c r="P30" s="4" t="s">
        <v>1379</v>
      </c>
    </row>
    <row r="31" spans="2:16" s="4" customFormat="1" x14ac:dyDescent="0.3">
      <c r="B31" s="238" t="s">
        <v>953</v>
      </c>
      <c r="C31" s="233" t="s">
        <v>141</v>
      </c>
      <c r="D31" s="114">
        <f>[4]Ixworth!E32</f>
        <v>2773</v>
      </c>
      <c r="E31" s="114">
        <f>[5]Ixworth!D32</f>
        <v>0</v>
      </c>
      <c r="F31" s="114">
        <f t="shared" si="0"/>
        <v>2773</v>
      </c>
      <c r="G31" s="243">
        <f t="shared" si="1"/>
        <v>0</v>
      </c>
      <c r="H31" s="16"/>
    </row>
    <row r="32" spans="2:16" s="4" customFormat="1" x14ac:dyDescent="0.3">
      <c r="B32" s="238" t="s">
        <v>954</v>
      </c>
      <c r="C32" s="233" t="s">
        <v>142</v>
      </c>
      <c r="D32" s="114">
        <f>[4]Ixworth!E33</f>
        <v>11095</v>
      </c>
      <c r="E32" s="114">
        <f>[5]Ixworth!D33</f>
        <v>2219</v>
      </c>
      <c r="F32" s="114">
        <f t="shared" si="0"/>
        <v>8876</v>
      </c>
      <c r="G32" s="243">
        <f t="shared" si="1"/>
        <v>0.2</v>
      </c>
      <c r="H32" s="16"/>
      <c r="N32" s="4" t="s">
        <v>1377</v>
      </c>
      <c r="O32" s="4" t="s">
        <v>1378</v>
      </c>
    </row>
    <row r="33" spans="2:16" s="11" customFormat="1" ht="28.5" thickBot="1" x14ac:dyDescent="0.35">
      <c r="B33" s="248" t="s">
        <v>955</v>
      </c>
      <c r="C33" s="249" t="s">
        <v>604</v>
      </c>
      <c r="D33" s="250">
        <f>SUM(D27:D32)</f>
        <v>61639</v>
      </c>
      <c r="E33" s="250">
        <f>SUM(E27:E32)</f>
        <v>14671</v>
      </c>
      <c r="F33" s="250">
        <f t="shared" si="0"/>
        <v>46968</v>
      </c>
      <c r="G33" s="229">
        <f t="shared" si="1"/>
        <v>0.23799999999999999</v>
      </c>
      <c r="H33" s="17">
        <f t="shared" si="2"/>
        <v>0.23799999999999999</v>
      </c>
    </row>
    <row r="34" spans="2:16" x14ac:dyDescent="0.3">
      <c r="B34" s="268"/>
      <c r="C34" s="240"/>
      <c r="D34" s="270"/>
      <c r="E34" s="270"/>
      <c r="F34" s="270"/>
      <c r="G34" s="271"/>
      <c r="H34" s="16"/>
    </row>
    <row r="35" spans="2:16" s="4" customFormat="1" x14ac:dyDescent="0.3">
      <c r="B35" s="238" t="s">
        <v>956</v>
      </c>
      <c r="C35" s="233" t="s">
        <v>143</v>
      </c>
      <c r="D35" s="114">
        <f>[4]Ixworth!E36</f>
        <v>9122</v>
      </c>
      <c r="E35" s="114">
        <f>[5]Ixworth!D36</f>
        <v>4122</v>
      </c>
      <c r="F35" s="114">
        <f t="shared" si="0"/>
        <v>5000</v>
      </c>
      <c r="G35" s="243">
        <f t="shared" si="1"/>
        <v>0.45190000000000002</v>
      </c>
      <c r="H35" s="16"/>
      <c r="N35" s="4" t="s">
        <v>1384</v>
      </c>
      <c r="O35" s="4" t="s">
        <v>1382</v>
      </c>
      <c r="P35" s="4" t="s">
        <v>1379</v>
      </c>
    </row>
    <row r="36" spans="2:16" s="4" customFormat="1" x14ac:dyDescent="0.3">
      <c r="B36" s="238" t="s">
        <v>957</v>
      </c>
      <c r="C36" s="233" t="s">
        <v>144</v>
      </c>
      <c r="D36" s="114">
        <f>[4]Ixworth!E37</f>
        <v>6206</v>
      </c>
      <c r="E36" s="114">
        <f>[5]Ixworth!D37</f>
        <v>3105</v>
      </c>
      <c r="F36" s="114">
        <f t="shared" si="0"/>
        <v>3101</v>
      </c>
      <c r="G36" s="243">
        <f t="shared" si="1"/>
        <v>0.50029999999999997</v>
      </c>
      <c r="H36" s="16"/>
      <c r="N36" s="4" t="s">
        <v>1381</v>
      </c>
      <c r="O36" s="4" t="s">
        <v>1382</v>
      </c>
      <c r="P36" s="4" t="s">
        <v>1379</v>
      </c>
    </row>
    <row r="37" spans="2:16" s="4" customFormat="1" x14ac:dyDescent="0.3">
      <c r="B37" s="238" t="s">
        <v>958</v>
      </c>
      <c r="C37" s="233" t="s">
        <v>145</v>
      </c>
      <c r="D37" s="114">
        <f>[4]Ixworth!E38</f>
        <v>5747</v>
      </c>
      <c r="E37" s="114">
        <f>[5]Ixworth!D38</f>
        <v>0</v>
      </c>
      <c r="F37" s="114">
        <f t="shared" si="0"/>
        <v>5747</v>
      </c>
      <c r="G37" s="243">
        <f t="shared" si="1"/>
        <v>0</v>
      </c>
      <c r="H37" s="16"/>
    </row>
    <row r="38" spans="2:16" s="4" customFormat="1" x14ac:dyDescent="0.3">
      <c r="B38" s="238" t="s">
        <v>959</v>
      </c>
      <c r="C38" s="233" t="s">
        <v>146</v>
      </c>
      <c r="D38" s="114">
        <f>[4]Ixworth!E39</f>
        <v>5807</v>
      </c>
      <c r="E38" s="114">
        <f>[5]Ixworth!D39</f>
        <v>3000</v>
      </c>
      <c r="F38" s="114">
        <f t="shared" si="0"/>
        <v>2807</v>
      </c>
      <c r="G38" s="243">
        <f t="shared" si="1"/>
        <v>0.51659999999999995</v>
      </c>
      <c r="H38" s="16"/>
      <c r="N38" s="4" t="s">
        <v>1381</v>
      </c>
      <c r="O38" s="4" t="s">
        <v>1378</v>
      </c>
      <c r="P38" s="4" t="s">
        <v>1379</v>
      </c>
    </row>
    <row r="39" spans="2:16" s="4" customFormat="1" x14ac:dyDescent="0.3">
      <c r="B39" s="238" t="s">
        <v>960</v>
      </c>
      <c r="C39" s="233" t="s">
        <v>147</v>
      </c>
      <c r="D39" s="114">
        <f>[4]Ixworth!E40</f>
        <v>8181</v>
      </c>
      <c r="E39" s="114">
        <f>[5]Ixworth!D40</f>
        <v>4181</v>
      </c>
      <c r="F39" s="114">
        <f t="shared" si="0"/>
        <v>4000</v>
      </c>
      <c r="G39" s="243">
        <f t="shared" si="1"/>
        <v>0.5111</v>
      </c>
      <c r="H39" s="16"/>
      <c r="N39" s="4" t="s">
        <v>1377</v>
      </c>
      <c r="O39" s="4" t="s">
        <v>1378</v>
      </c>
      <c r="P39" s="4" t="s">
        <v>1380</v>
      </c>
    </row>
    <row r="40" spans="2:16" s="4" customFormat="1" x14ac:dyDescent="0.3">
      <c r="B40" s="238" t="s">
        <v>961</v>
      </c>
      <c r="C40" s="233" t="s">
        <v>148</v>
      </c>
      <c r="D40" s="114">
        <f>[4]Ixworth!E41</f>
        <v>4712</v>
      </c>
      <c r="E40" s="114">
        <f>[5]Ixworth!D41</f>
        <v>1250</v>
      </c>
      <c r="F40" s="114">
        <f t="shared" si="0"/>
        <v>3462</v>
      </c>
      <c r="G40" s="243">
        <f t="shared" si="1"/>
        <v>0.26529999999999998</v>
      </c>
      <c r="H40" s="16"/>
      <c r="N40" s="4" t="s">
        <v>1377</v>
      </c>
      <c r="O40" s="4" t="s">
        <v>1378</v>
      </c>
    </row>
    <row r="41" spans="2:16" s="4" customFormat="1" x14ac:dyDescent="0.3">
      <c r="B41" s="238" t="s">
        <v>962</v>
      </c>
      <c r="C41" s="233" t="s">
        <v>149</v>
      </c>
      <c r="D41" s="114">
        <f>[4]Ixworth!E42</f>
        <v>18816</v>
      </c>
      <c r="E41" s="114">
        <f>[5]Ixworth!D42</f>
        <v>5700</v>
      </c>
      <c r="F41" s="114">
        <f t="shared" si="0"/>
        <v>13116</v>
      </c>
      <c r="G41" s="243">
        <f t="shared" si="1"/>
        <v>0.3029</v>
      </c>
      <c r="H41" s="16"/>
      <c r="N41" s="4" t="s">
        <v>1381</v>
      </c>
      <c r="O41" s="4" t="s">
        <v>1382</v>
      </c>
      <c r="P41" s="4" t="s">
        <v>1379</v>
      </c>
    </row>
    <row r="42" spans="2:16" s="4" customFormat="1" x14ac:dyDescent="0.3">
      <c r="B42" s="230" t="s">
        <v>963</v>
      </c>
      <c r="C42" s="247" t="s">
        <v>150</v>
      </c>
      <c r="D42" s="145">
        <f>[4]Ixworth!E43</f>
        <v>3946</v>
      </c>
      <c r="E42" s="145">
        <f>[5]Ixworth!D43</f>
        <v>0</v>
      </c>
      <c r="F42" s="145">
        <f t="shared" si="0"/>
        <v>3946</v>
      </c>
      <c r="G42" s="243">
        <f t="shared" si="1"/>
        <v>0</v>
      </c>
      <c r="H42" s="16"/>
      <c r="N42" s="4" t="s">
        <v>1377</v>
      </c>
      <c r="O42" s="4" t="s">
        <v>1378</v>
      </c>
      <c r="P42" s="4" t="s">
        <v>1380</v>
      </c>
    </row>
    <row r="43" spans="2:16" s="10" customFormat="1" ht="43.5" customHeight="1" thickBot="1" x14ac:dyDescent="0.35">
      <c r="B43" s="169" t="s">
        <v>964</v>
      </c>
      <c r="C43" s="154" t="s">
        <v>151</v>
      </c>
      <c r="D43" s="173">
        <f>SUM(D35:D42)</f>
        <v>62537</v>
      </c>
      <c r="E43" s="173">
        <f>SUM(E35:E42)</f>
        <v>21358</v>
      </c>
      <c r="F43" s="155">
        <f t="shared" si="0"/>
        <v>41179</v>
      </c>
      <c r="G43" s="137">
        <f t="shared" si="1"/>
        <v>0.34150000000000003</v>
      </c>
      <c r="H43" s="17">
        <f t="shared" si="2"/>
        <v>0.34150000000000003</v>
      </c>
    </row>
    <row r="44" spans="2:16" s="10" customFormat="1" ht="14.25" customHeight="1" x14ac:dyDescent="0.3">
      <c r="B44" s="170"/>
      <c r="C44" s="149"/>
      <c r="D44" s="174"/>
      <c r="E44" s="174"/>
      <c r="F44" s="150"/>
      <c r="G44" s="156"/>
    </row>
    <row r="45" spans="2:16" s="3" customFormat="1" ht="14.5" thickBot="1" x14ac:dyDescent="0.35">
      <c r="B45" s="124"/>
      <c r="C45" s="99" t="s">
        <v>58</v>
      </c>
      <c r="D45" s="110">
        <f>SUM(D43,D33,D25,D15,)</f>
        <v>243096</v>
      </c>
      <c r="E45" s="110">
        <f>SUM(E43,E33,E25,E15,)</f>
        <v>100459</v>
      </c>
      <c r="F45" s="110">
        <f>SUM(F43,F33,F25,F15,)</f>
        <v>142637</v>
      </c>
      <c r="G45" s="136">
        <f t="shared" si="1"/>
        <v>0.41320000000000001</v>
      </c>
    </row>
    <row r="46" spans="2:16" x14ac:dyDescent="0.3">
      <c r="B46" s="123"/>
      <c r="C46" s="89"/>
      <c r="D46" s="90"/>
      <c r="E46" s="90"/>
      <c r="F46" s="90"/>
      <c r="G46" s="168"/>
    </row>
    <row r="47" spans="2:16" ht="14.5" thickBot="1" x14ac:dyDescent="0.35">
      <c r="B47" s="171"/>
      <c r="C47" s="99" t="s">
        <v>1630</v>
      </c>
      <c r="D47" s="110">
        <f>[7]Ixworth!$D$46</f>
        <v>237234</v>
      </c>
      <c r="E47" s="110">
        <v>113738</v>
      </c>
      <c r="F47" s="110">
        <f>D47-E47</f>
        <v>123496</v>
      </c>
      <c r="G47" s="136">
        <f>E47/D47</f>
        <v>0.47943380797018975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29</vt:i4>
      </vt:variant>
    </vt:vector>
  </HeadingPairs>
  <TitlesOfParts>
    <vt:vector size="52" baseType="lpstr">
      <vt:lpstr>Summary</vt:lpstr>
      <vt:lpstr>Xledger Data</vt:lpstr>
      <vt:lpstr>Overview</vt:lpstr>
      <vt:lpstr>Bosmere </vt:lpstr>
      <vt:lpstr>Historic Monthly Totals</vt:lpstr>
      <vt:lpstr>Data</vt:lpstr>
      <vt:lpstr>Clare</vt:lpstr>
      <vt:lpstr>Hadleigh</vt:lpstr>
      <vt:lpstr>Ixworth</vt:lpstr>
      <vt:lpstr>Lavenham</vt:lpstr>
      <vt:lpstr>Mildenhall</vt:lpstr>
      <vt:lpstr>Stowmarket</vt:lpstr>
      <vt:lpstr>Sudbury</vt:lpstr>
      <vt:lpstr>Thingoe</vt:lpstr>
      <vt:lpstr>Colneys</vt:lpstr>
      <vt:lpstr>Hartismere</vt:lpstr>
      <vt:lpstr>Hoxne</vt:lpstr>
      <vt:lpstr>Loes</vt:lpstr>
      <vt:lpstr>Ipswich</vt:lpstr>
      <vt:lpstr>Samford</vt:lpstr>
      <vt:lpstr>Saxmundham</vt:lpstr>
      <vt:lpstr>Waveney &amp; Blyth</vt:lpstr>
      <vt:lpstr>Woodbridge</vt:lpstr>
      <vt:lpstr>Month1</vt:lpstr>
      <vt:lpstr>Month2</vt:lpstr>
      <vt:lpstr>Month3</vt:lpstr>
      <vt:lpstr>Clare!PayingEntity</vt:lpstr>
      <vt:lpstr>Period</vt:lpstr>
      <vt:lpstr>PeriodNo</vt:lpstr>
      <vt:lpstr>'Bosmere '!Print_Area</vt:lpstr>
      <vt:lpstr>Clare!Print_Area</vt:lpstr>
      <vt:lpstr>Colneys!Print_Area</vt:lpstr>
      <vt:lpstr>Hadleigh!Print_Area</vt:lpstr>
      <vt:lpstr>Hartismere!Print_Area</vt:lpstr>
      <vt:lpstr>Hoxne!Print_Area</vt:lpstr>
      <vt:lpstr>Ipswich!Print_Area</vt:lpstr>
      <vt:lpstr>Ixworth!Print_Area</vt:lpstr>
      <vt:lpstr>Lavenham!Print_Area</vt:lpstr>
      <vt:lpstr>Loes!Print_Area</vt:lpstr>
      <vt:lpstr>Mildenhall!Print_Area</vt:lpstr>
      <vt:lpstr>Overview!Print_Area</vt:lpstr>
      <vt:lpstr>Samford!Print_Area</vt:lpstr>
      <vt:lpstr>Saxmundham!Print_Area</vt:lpstr>
      <vt:lpstr>Stowmarket!Print_Area</vt:lpstr>
      <vt:lpstr>Sudbury!Print_Area</vt:lpstr>
      <vt:lpstr>Summary!Print_Area</vt:lpstr>
      <vt:lpstr>Thingoe!Print_Area</vt:lpstr>
      <vt:lpstr>'Waveney &amp; Blyth'!Print_Area</vt:lpstr>
      <vt:lpstr>Woodbridge!Print_Area</vt:lpstr>
      <vt:lpstr>'Waveney &amp; Blyth'!Print_Titles</vt:lpstr>
      <vt:lpstr>Target</vt:lpstr>
      <vt:lpstr>Xledger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Alice</dc:creator>
  <cp:lastModifiedBy>Philip Keeble</cp:lastModifiedBy>
  <cp:lastPrinted>2020-02-07T15:48:40Z</cp:lastPrinted>
  <dcterms:created xsi:type="dcterms:W3CDTF">2017-02-06T14:12:08Z</dcterms:created>
  <dcterms:modified xsi:type="dcterms:W3CDTF">2020-08-04T12:58:49Z</dcterms:modified>
</cp:coreProperties>
</file>